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60" windowHeight="1485" tabRatio="453" activeTab="0"/>
  </bookViews>
  <sheets>
    <sheet name="anexa memo" sheetId="1" r:id="rId1"/>
    <sheet name="100%" sheetId="2" r:id="rId2"/>
  </sheets>
  <externalReferences>
    <externalReference r:id="rId5"/>
    <externalReference r:id="rId6"/>
    <externalReference r:id="rId7"/>
    <externalReference r:id="rId8"/>
    <externalReference r:id="rId9"/>
  </externalReferences>
  <definedNames>
    <definedName name="__xlfn_COUNTIFS">#N/A</definedName>
    <definedName name="_xlfn.COUNTIFS" hidden="1">#NAME?</definedName>
    <definedName name="_xlfn.SUMIFS" hidden="1">#NAME?</definedName>
    <definedName name="_xlnm.Print_Area" localSheetId="1">'100%'!$A$1:$P$56</definedName>
    <definedName name="_xlnm.Print_Area" localSheetId="0">'anexa memo'!$A$1:$R$163</definedName>
    <definedName name="_xlnm.Print_Titles" localSheetId="1">'100%'!$6:$8</definedName>
    <definedName name="_xlnm.Print_Titles" localSheetId="0">'anexa memo'!$7:$9</definedName>
  </definedNames>
  <calcPr fullCalcOnLoad="1"/>
</workbook>
</file>

<file path=xl/comments1.xml><?xml version="1.0" encoding="utf-8"?>
<comments xmlns="http://schemas.openxmlformats.org/spreadsheetml/2006/main">
  <authors>
    <author>User</author>
  </authors>
  <commentList>
    <comment ref="J84" authorId="0">
      <text>
        <r>
          <rPr>
            <b/>
            <sz val="9"/>
            <rFont val="Tahoma"/>
            <family val="2"/>
          </rPr>
          <t>User:</t>
        </r>
        <r>
          <rPr>
            <sz val="9"/>
            <rFont val="Tahoma"/>
            <family val="2"/>
          </rPr>
          <t xml:space="preserve">
</t>
        </r>
        <r>
          <rPr>
            <sz val="12"/>
            <rFont val="Tahoma"/>
            <family val="2"/>
          </rPr>
          <t>doar Buc-Ploiesti este 3.393.812mii lei cf HG 737/2008</t>
        </r>
        <r>
          <rPr>
            <sz val="9"/>
            <rFont val="Tahoma"/>
            <family val="2"/>
          </rPr>
          <t xml:space="preserve">
</t>
        </r>
      </text>
    </comment>
    <comment ref="N101" authorId="0">
      <text>
        <r>
          <rPr>
            <b/>
            <sz val="9"/>
            <rFont val="Tahoma"/>
            <family val="2"/>
          </rPr>
          <t>User:</t>
        </r>
        <r>
          <rPr>
            <sz val="9"/>
            <rFont val="Tahoma"/>
            <family val="2"/>
          </rPr>
          <t xml:space="preserve">
Executie + supervizare. Alesd Sud si Nord.
</t>
        </r>
      </text>
    </comment>
  </commentList>
</comments>
</file>

<file path=xl/sharedStrings.xml><?xml version="1.0" encoding="utf-8"?>
<sst xmlns="http://schemas.openxmlformats.org/spreadsheetml/2006/main" count="1173" uniqueCount="450">
  <si>
    <t>Nr. crt.</t>
  </si>
  <si>
    <t>Denumirea proiectului de investiţii semnificativ</t>
  </si>
  <si>
    <t>OPC</t>
  </si>
  <si>
    <t>PC / PN</t>
  </si>
  <si>
    <t>Cod fişă</t>
  </si>
  <si>
    <t>Punctaj ordonator principal de credite</t>
  </si>
  <si>
    <t>Indicatori eficienţă economică (euro / %)</t>
  </si>
  <si>
    <t>Constructia Autostrazii Orastie - Sibiu, km 0+000 - km 82+070</t>
  </si>
  <si>
    <t>PC</t>
  </si>
  <si>
    <t>MS</t>
  </si>
  <si>
    <t>Constructia autostrazii Timisoara – Lugoj si variantei de ocolire a orasului Timisoara la standard de autostrada, km 44+500 - km 79+625</t>
  </si>
  <si>
    <t>Constructia Variantei de Ocolire Targu Mures</t>
  </si>
  <si>
    <t>PN</t>
  </si>
  <si>
    <t>Constructia Autostrazii Lugoj - Deva</t>
  </si>
  <si>
    <t>”Ro-NET – Construirea unei infrastructuri naționale de broadband în zonele defavorizate, prin utilizarea fondurilor structurale”</t>
  </si>
  <si>
    <t>Constructia Autostrazii Sebes - Turda, km 0+000 - km 70+000</t>
  </si>
  <si>
    <t>Constructia Autostrazii Nadlac – Arad, km 0+000 - km 38+882</t>
  </si>
  <si>
    <t>Modernizare DN 5 sectorul Bucuresti - Adunatii Copaceni</t>
  </si>
  <si>
    <t>Largire la 4 benzi centura Bucuresti Sud intre A2 km 23+600 si A1 km 55+520</t>
  </si>
  <si>
    <t>Constructia Variantei de Ocolire a Municipiului Brasov</t>
  </si>
  <si>
    <t>Constructia Variantei de ocolire Stei</t>
  </si>
  <si>
    <t>Constructia Variantei de ocolire Targu Jiu</t>
  </si>
  <si>
    <t>Constructia Variantei de Ocolire Bacau</t>
  </si>
  <si>
    <t>ISPA 2000/RO/16/P/PT/002 - Largire la 4 benzi a DN 5, Adunatii Copaceni - Giurgiu</t>
  </si>
  <si>
    <t>Autostrada de Centura a Municipiului Bucuresti - Sector Centura Sud km 52+770 - 100+900</t>
  </si>
  <si>
    <t>Reabilitare DN6 Alexandria – Craiova</t>
  </si>
  <si>
    <t>Constructia Autostrazii Arad-Timisoara (inclusiv varianta de ocolire Arad), km 0+000 - km 44+500</t>
  </si>
  <si>
    <t>Constructia Variantei de Ocolire a Municipiului Constanta la standard de autostrada, km 0+000 - km 21+775</t>
  </si>
  <si>
    <t>MJ</t>
  </si>
  <si>
    <t>Constructia variantei de ocolire Alesd</t>
  </si>
  <si>
    <t>Modernizare centura rutiera a municipiului Bucuresti intre A1-DN7 si DN2-A2</t>
  </si>
  <si>
    <t>Modernizare DN 73 Pitesti-Campulung-Brasov km 13+800 - 42+850; km 54+050 - 128+250</t>
  </si>
  <si>
    <t>Reabilitare DN1H Zalau Alesd</t>
  </si>
  <si>
    <t>Autostrada Brasov- Cluj -  Bors</t>
  </si>
  <si>
    <t>DN 18  Moisei – Iacobeni, km 131+627- km 220+088</t>
  </si>
  <si>
    <t>Modernizarea infrastructurii privind siguranta circulatiei pe DN1, in sate lineare si puncte negre</t>
  </si>
  <si>
    <t>Reabilitare DN 15 Tg. Mures– Reghin, km 69+500- km 109+940 si DN15A Reghin – Saratel km 0+000 - km 46+597</t>
  </si>
  <si>
    <t>Reabilitare DN 14 Sibiu - Medias - Sighisoara, km 0+000 - km 51+100 si km 57+500 - km 89+400</t>
  </si>
  <si>
    <t>Varianta de ocolire Suceava 0+000 - 13+172</t>
  </si>
  <si>
    <t>Reabilitare DN 19 Lim. Jud. Bihor – Satu Mare, km 75+896 - 128+057</t>
  </si>
  <si>
    <t>Largire la 4 benzi DN 7, Baldana - Titu km 30+950 - 52+350, Jud. Dambovita</t>
  </si>
  <si>
    <t>Modernizare DN 29, Suceava - Botosani km 0+000 - 39+071, Jud. Suceava si Jud. Botosani</t>
  </si>
  <si>
    <t>Constructia Variantei de Ocolire Deva-Orastie la standard de autostrada</t>
  </si>
  <si>
    <t>Reabilitare DN1C/19; DN 1C Baia Mare - Livada, km 155+125 - km 200+170; DN1C Livada - Halmeu, km 200+170 - km 216+630; DN19 Satu-Mare -  Livada, km 135+000 - km 150+000</t>
  </si>
  <si>
    <t>ISPA/2000/RO/16/P/PT/004 - Reabilitarea DN 6, sectiunea Craiova - Drobeta Turnu Severin</t>
  </si>
  <si>
    <t>ISPA 2001/RO/16/P/PT/006 - Reabilitare DN 6,  Drobeta Turnu Severin - Lugoj</t>
  </si>
  <si>
    <t>Reabilitare DN 19 Oradea – Lim. Jud. Bihor, km 5+853 - 75+896</t>
  </si>
  <si>
    <t>Reabilitare DN 66 Petrosani - Simeria, km 136+000 - km 210+516</t>
  </si>
  <si>
    <t>DN 18   Sighetul Marmatiei  - Moisei, km 62+234- km 131+627</t>
  </si>
  <si>
    <t>Reabilitare DN1C Dej – Baia Mare, km 61+500 - km 147+990</t>
  </si>
  <si>
    <t>Reabilitare DN1H Zalau - Rastoci, km 75+446 - km 128+823</t>
  </si>
  <si>
    <t>Fluidizarea traficului pe DN 1 intre km 8+100 - 17+100 si centura Rutiera  in zona de nord a Municipiului Bucuresti - Ob.6</t>
  </si>
  <si>
    <t>Reabilitarea DN 79 Arad - Oradea, km 4+150 ÷ km 107+745</t>
  </si>
  <si>
    <t>Centura de ocolire Craiova varianta Sud  DN 56-DN 55-DN 6</t>
  </si>
  <si>
    <t>DN 18 - Baia Mare – Sighetul Marmatiei, km 3+522- km 62+234</t>
  </si>
  <si>
    <t>Varianta de ocolire Cluj Est</t>
  </si>
  <si>
    <t>Fluidizarea traficului pe DN1 intre km 8+100 - 17+100 si Centura Rutiera in zona de Nord a Mun. Bucuresti - Ob. 7</t>
  </si>
  <si>
    <t>Varianta de ocolire a municipiului Satu Mare</t>
  </si>
  <si>
    <t>Modernizare DN 71 Baldana - Targoviste - Sinaia km 0+000-44+130; km 51+041-109+905</t>
  </si>
  <si>
    <t>Reabilitare DN 1C, Cluj - Dej, km 8+300 - km 61+528</t>
  </si>
  <si>
    <t>Sporire capacitate de circulatie pe centura Ploiesti Vest Km 0+000 - 12+850</t>
  </si>
  <si>
    <t>Drum de centura in municipiul Oradea - Etapa a II-a</t>
  </si>
  <si>
    <t>Modernizare DN 72 Gaiesti - Ploiesti km 0+000 - 76+180</t>
  </si>
  <si>
    <t>Modernizare DN 67B Scoarta - Pitesti km 0+000 - 188+200</t>
  </si>
  <si>
    <t>Restructurare Sector de Drum si Varianta de Ocolire a Municipiului Pitesti/Constructia Variantei de Ocolire a Municipiului Pitesti cu profil de autostrada</t>
  </si>
  <si>
    <t>Constructia si Reabilitarea sectiunilor 4 Si 5 ale Autostrazii Bucuresti - Cernavoda Km 97+300 - Km151+480</t>
  </si>
  <si>
    <t>Total</t>
  </si>
  <si>
    <t>Ministerul Sănătăţii</t>
  </si>
  <si>
    <t>Ministerul Justiţiei</t>
  </si>
  <si>
    <t>verificare</t>
  </si>
  <si>
    <t>Constructia variantei de ocolire Barlad</t>
  </si>
  <si>
    <t>Varianta de ocolire Timisoara Sud</t>
  </si>
  <si>
    <t>sf   0%</t>
  </si>
  <si>
    <t>sf    0,01-99,99%</t>
  </si>
  <si>
    <t>sf   100%</t>
  </si>
  <si>
    <t>distributie numar proiecte</t>
  </si>
  <si>
    <t>0-99,99</t>
  </si>
  <si>
    <t>Ministerul Apararii Nationale</t>
  </si>
  <si>
    <t>MApN</t>
  </si>
  <si>
    <t>dif</t>
  </si>
  <si>
    <t>Podul suspendat peste Dunare in zona Braila, judetele Braila si Tulcea</t>
  </si>
  <si>
    <t>-</t>
  </si>
  <si>
    <t>TOTAL</t>
  </si>
  <si>
    <t>DOAR 0-99</t>
  </si>
  <si>
    <t>distributie necesar finantare pe stadii fizice</t>
  </si>
  <si>
    <t>distributie cheltuieli pe stadii fizice</t>
  </si>
  <si>
    <t>preluare chelt</t>
  </si>
  <si>
    <t>verific total -3 categ</t>
  </si>
  <si>
    <t>SF 0</t>
  </si>
  <si>
    <t>SF 100</t>
  </si>
  <si>
    <t>distributie cheltuieli pe ministere</t>
  </si>
  <si>
    <t>distributie necesar pe ministere</t>
  </si>
  <si>
    <t>% din total nr proiecte</t>
  </si>
  <si>
    <t>diferenta/verificare</t>
  </si>
  <si>
    <t>distributie necesar pe stadii fizice - total</t>
  </si>
  <si>
    <t>Valoarea actualizată a proiectului
-mii lei-</t>
  </si>
  <si>
    <t>Alte informații</t>
  </si>
  <si>
    <t>verificare cu tabel</t>
  </si>
  <si>
    <t>distributie % cheltuieli pe ministere</t>
  </si>
  <si>
    <t>distributie % necesar pe ministere</t>
  </si>
  <si>
    <t>CH 0-99</t>
  </si>
  <si>
    <t>CH 100</t>
  </si>
  <si>
    <t>N 0-99</t>
  </si>
  <si>
    <t>N 100</t>
  </si>
  <si>
    <t>verif CH</t>
  </si>
  <si>
    <t>verif N</t>
  </si>
  <si>
    <t>nr pr 0-99</t>
  </si>
  <si>
    <t>nr pr 100</t>
  </si>
  <si>
    <t>metrorex</t>
  </si>
  <si>
    <t>centr</t>
  </si>
  <si>
    <t>anexa</t>
  </si>
  <si>
    <t>VA</t>
  </si>
  <si>
    <t>RF</t>
  </si>
  <si>
    <t>nr proiect</t>
  </si>
  <si>
    <t>centraliz</t>
  </si>
  <si>
    <t>companii MT</t>
  </si>
  <si>
    <t>apmc</t>
  </si>
  <si>
    <t>afdj</t>
  </si>
  <si>
    <t>cfr</t>
  </si>
  <si>
    <t>acn</t>
  </si>
  <si>
    <t>MT centraliz</t>
  </si>
  <si>
    <t>dif punct</t>
  </si>
  <si>
    <t xml:space="preserve">Constructia Variantei de ocolire Craiova Sud </t>
  </si>
  <si>
    <t>total</t>
  </si>
  <si>
    <t>apmc si afdj</t>
  </si>
  <si>
    <t>total split MT</t>
  </si>
  <si>
    <t>Observații (comunicate de ordonatorii principali de credite)</t>
  </si>
  <si>
    <t>Drum expres Craiova-Pitesti și legaturile la drumurile existente</t>
  </si>
  <si>
    <t xml:space="preserve">Proiectare si executie Drum de legatura DN5 - km 60+500 - Soseaua de Centura - Pod Prieteniei km 61+400 </t>
  </si>
  <si>
    <t>Reabilitarea liniei de c.f. Frontiera-Curtici-Simeria parte componenta a Coridorului IV Paneuropean pentru circulatia trenurilor cu viteza maxima de 160 km/h, Sectiunea Frontiera-Curtici-Arad-km 614 (tronsonul 1) (Finanțat din titlul 56.03 - Programe din Fond de Coeziune)</t>
  </si>
  <si>
    <t>Reabilitarea liniei de de cale ferata Braşov – Simeria, componentă a Coridorului IV Pan-European, pentru circulaţia trenurilor cu viteză maximă de 160 km/h, sectiunea Sighișoara - Coşlariu (Finanțat din titlul 56.03 - Programe din FC și din titlul 58.03 - Programe din FC)</t>
  </si>
  <si>
    <t>Reabilitarea liniei de c.f. Brasov- Simeria, componentă a Coridorului IV Pan – European pentru circulaţia trenurilor cu viteza maximă de 160 km/h, sectiunea Coslariu - Simeria (Finanțat din titlul 56.03 - Programe din FC și din titlul 58.03 - Programe din FC)</t>
  </si>
  <si>
    <t xml:space="preserve">Modernizare DN28B Târgu Frumos – Botoșani km 0+000 – km 76+758
</t>
  </si>
  <si>
    <t>Apărări de maluri pe Canalul Sulina – Etapa finală (Finanțat din titlul 58.03 - Programe din Fond de Coeziune POIM 2014-2020)</t>
  </si>
  <si>
    <t>Autostrada Bucuresti - Brasov, km 0+000 -173+300</t>
  </si>
  <si>
    <t>Modernizarea infrastructurii portuare prin asigurarea creşterii adâncimilor şenalelor şi a bazinelor şi a siguranţei navigaţiei în Portul Constanţa (Finanțat din titlul 58.01 - Programul Operational Infrastructura Mare)</t>
  </si>
  <si>
    <t>Autostrada de Centura a Municipiului Bucuresti - Sector Centura Nord km 0+000 - 52+700</t>
  </si>
  <si>
    <t>Reabilitare DN 66 Filiasi Petrosani km 0+000 - km 131+000, Sector km 48+900 - km 93+500,Rovinari-Bumbesti Jiu</t>
  </si>
  <si>
    <t>Reabilitare DN 66 Filiasi - Petrosani km 0+000 - km 131+000 Sector km 93+500 - km 126+000, Bumbesti Jiu - Petrosani</t>
  </si>
  <si>
    <t>Reabilitarea liniei CF frontieră Curtici - Simeria parte componenta a Coridorului IV Pan-European pentru circulaţia trenurilor cu viteză maximă de 160 km/h, Tronsonul 2 :km 614-Gurasada şi Tronsonul 3: Gurasada-Simeria (punctaj) (Finanțat din titlul 56.03 - Programe din FC și din titlul 58.03 - Programe din FC)</t>
  </si>
  <si>
    <t>Consolidarea si  modernizarea stadionului Giulesti “Valentin Stanescu”</t>
  </si>
  <si>
    <t>Constructia Variantei de Ocolire Caracal</t>
  </si>
  <si>
    <t>Constructia Variantei de Ocolire a Municipiului Sibiu la standard de autostrada</t>
  </si>
  <si>
    <t>Îmbunătăţirea condiţiilor de navigaţie pe Dunăre între Călăraşi şi Brăila, km  375 – km 175 (Finanțat din titlul 56.03 - Programe din Fond de Coeziune, dini 84.01.55.01 -Transferuri interne, respectiv din 84.01.55.01.28 - Chelt. neeligibile ISPA - Fonduri nerambursabile si din 84.08.55.01.09 - Programe ISPA)</t>
  </si>
  <si>
    <t xml:space="preserve">Spital Regional de Urgență Iași </t>
  </si>
  <si>
    <t>Canal navigabil Dunare-Marea Neagra; DCS 300/1978; TITLUL 55 (1.184.661 mii lei)</t>
  </si>
  <si>
    <t>Masura ISPA 2000/RO/16/P/PT/007 - Reabilitarea liniei CF Campina - Predeal</t>
  </si>
  <si>
    <t>Masura ISPA 2000/RO/16/P/PT/001 - Reabilitarea liniei CF Bucuresti - Constanta</t>
  </si>
  <si>
    <t>Reabilitare DN 56 Craiova-Calafat, km. 0+000 - km. 84+020</t>
  </si>
  <si>
    <t>Apărări de maluri pe canalul Sulina şi sistem de măsurători topohidrografice şi de semnalizare pe Dunăre</t>
  </si>
  <si>
    <t>Constructie Autostrada Cernavoda-Constanta tronsoanele Cernavoda-Medgidia km 151+300- km 171+791 si Medgidia-Constanta km 170+750-km 201+570</t>
  </si>
  <si>
    <t>Canal navigabil Poarta Alba-Midia, Navodari; DCS 409/1983; TITLUL 55 (1.083.338 mii lei)</t>
  </si>
  <si>
    <t>Pod rutier la km 0+540 al Canalului Dunare - Marea Neagra şi lucrări aferente infrastructurii rutiere şi de acces în Port Constanţa (Finantat din titlul 56.01 -  Programe din Fond de Dezv. Regionala)</t>
  </si>
  <si>
    <t>Reabilitare DN 76 (E79) Deva - Oradea, km. 0+000 - km. 184+390</t>
  </si>
  <si>
    <t>Pasaj suprateran DJ602 centura Bucuresti-Domnesti</t>
  </si>
  <si>
    <t xml:space="preserve">Electrificare linie de cale ferata Doaga - Tecuci - Barbosi, inclusiv dispecer feroviar Galati                                                         </t>
  </si>
  <si>
    <t>Modernizare DN52 Alexandria - T. Magurele km 1+350 - km 44+600, km 49+194 - km 52+649</t>
  </si>
  <si>
    <t>Modernizare DN 51 Alexandria - Zimnicea, km 2+600 - km 43+783</t>
  </si>
  <si>
    <t>Reabilitare DN 1 , Sercaia  - Limita jud. Brasov/Sibiu km 220+000 - 261+130</t>
  </si>
  <si>
    <t xml:space="preserve">Linie noua de cale ferata Valcele - Ramnicu - Valcea                                                              </t>
  </si>
  <si>
    <t xml:space="preserve">Largire la 4 benzi de circulatie DN 73 intre km. 7+000-11+100 si drum de legatura cu DN 73D </t>
  </si>
  <si>
    <t>Fluidizarea traficului pe DN1 intre km 8+100 - 17+100 si Centura Rutiera in zona de Nord a Mun. Bucuresti - Ob. 5a</t>
  </si>
  <si>
    <t>Proiect de constructie a variantei de ocolire a Municipiului Constanta BERD 33391 - componenta poduri dobrogene si calamitati</t>
  </si>
  <si>
    <t>Modernizare DN56C km 0+000 - km 60+375</t>
  </si>
  <si>
    <t>Port Constanţa Sud - Zona de acces a navelor pe Canalul Dunăre - Marea Neagră, TITLUL 55, (241.595 mii lei)</t>
  </si>
  <si>
    <t>CNAIR</t>
  </si>
  <si>
    <t>CFR</t>
  </si>
  <si>
    <t>NAVAL</t>
  </si>
  <si>
    <t>METROREX</t>
  </si>
  <si>
    <t>2022</t>
  </si>
  <si>
    <t>2023</t>
  </si>
  <si>
    <t xml:space="preserve">Autostrada Sibiu-Pitesti </t>
  </si>
  <si>
    <t>2027</t>
  </si>
  <si>
    <t>Lucrări de infrastructură necesare funcționării Colegiului Național Militar „Tudor Vladimirescu” în cazarma 878 Craiova</t>
  </si>
  <si>
    <t>nu au fost calculati</t>
  </si>
  <si>
    <t>2021</t>
  </si>
  <si>
    <t>N/A</t>
  </si>
  <si>
    <t>22.990.000</t>
  </si>
  <si>
    <t>Extreme Light Infrastructure - Nuclear Physics (ELI-NP)</t>
  </si>
  <si>
    <t>Reducerea Eroziunii Costiere Faza II (2014-2020)</t>
  </si>
  <si>
    <t>Amenajare complexă râu Bârzava și afluenți pe sector Bocșa - Gătaia – Denta, județul Caras-Severin și județul Timiș</t>
  </si>
  <si>
    <t>Mărirea gradului de siguranță a acumulării Colibița, județul Bistrița - Năsăud</t>
  </si>
  <si>
    <t>Amenajări hidrotehnice în b.h. Niraj, jud. Mureș</t>
  </si>
  <si>
    <t>WATMAN-Sistem informațional pentru managementul integrat al apelor</t>
  </si>
  <si>
    <t>Acumulare Runcu-jud. Maramureș</t>
  </si>
  <si>
    <t>Acumularea Mihăileni pe râul Crișul Alb, jud. Hunedoara</t>
  </si>
  <si>
    <t>Amenajarea complexa Vf. Câmpului, jud. Suceava și Botoșani</t>
  </si>
  <si>
    <t xml:space="preserve">Amenajare râu Jijia pentru combaterea inundațiilor în județele Botoșani și Iași </t>
  </si>
  <si>
    <t>Acumulare Ogrezeni, jud. Giurgiu</t>
  </si>
  <si>
    <t>Amenajarea râului Săsar în municipiul Baia Mare, jud. Maramureș</t>
  </si>
  <si>
    <t>ANAR</t>
  </si>
  <si>
    <t xml:space="preserve"> Institutul Regional de Oncologie Timișoara</t>
  </si>
  <si>
    <t>Extinderea sectiei de oncologie cu compartiment de radioterapie oncologica la Spitalul Universitar de Urgenta Bucuresti</t>
  </si>
  <si>
    <t>2030</t>
  </si>
  <si>
    <t>Modernizarea liniei de cale ferată București Nord - Aeroport Internașional Henri Coandă București - Faza I: Racord c.f. la Terminalul T1, Aeroport Internațional Henri Coandă București</t>
  </si>
  <si>
    <t>Varianta de ocolire Fălticeni</t>
  </si>
  <si>
    <t>Varianta de ocolire Dej</t>
  </si>
  <si>
    <t xml:space="preserve">Consolidare și protecție versanți DN 7A km 63+200 - km 86+601, judeţul Vâlcea
</t>
  </si>
  <si>
    <t>Consolidare şi amenajare scurgere ape DN 55 km 4 + 400 - 71 + 100, judeţul Dolj</t>
  </si>
  <si>
    <t>Varianta ocolitoare a oraşului Mediaş, pe DN 14</t>
  </si>
  <si>
    <t>Lot 1: RTL - 2015
Lot 2: RTL - 2015</t>
  </si>
  <si>
    <t>Lot 1: Receptie Finala octombrie 2016
Lot 2: Receptie Finala decembrie 2019</t>
  </si>
  <si>
    <t>Cernavoda - Medgidia: Receptia finala din data de 28.06.2017
Medgidia - Constanta: Receptie Finala in data de 08.12.2015</t>
  </si>
  <si>
    <t>trim III 2022</t>
  </si>
  <si>
    <t>trim I 2022</t>
  </si>
  <si>
    <t xml:space="preserve">Palatul de Justiţie Prahova </t>
  </si>
  <si>
    <t>Palatul de Justiție Neamţ</t>
  </si>
  <si>
    <r>
      <t xml:space="preserve">Legatura retelei de metrou cu Aeroportul 
International Henri Coanda - Otopeni
(Magistrala 6. 1 Mai -Otopeni)
 </t>
    </r>
    <r>
      <rPr>
        <i/>
        <sz val="12"/>
        <rFont val="Times New Roman"/>
        <family val="1"/>
      </rPr>
      <t>(Finantat prin Acordul de imprumut semnat cu JICA - Propus la finantare prin programul de finantare nerambursabila al uniunii europene  2014-2020)*</t>
    </r>
  </si>
  <si>
    <r>
      <t xml:space="preserve">Modernizarea instalatiilor pe Magistralele 1, 2, 3, si Tronsonul de Legatura
</t>
    </r>
    <r>
      <rPr>
        <i/>
        <sz val="12"/>
        <rFont val="Times New Roman"/>
        <family val="1"/>
      </rPr>
      <t xml:space="preserve"> (Propus la finantare prin POS-T 2007-2013 si programul de finantare nerambursabila al uniunii europene  2014-2020)</t>
    </r>
  </si>
  <si>
    <t>Beneficiar</t>
  </si>
  <si>
    <t>Reabilitare DN 17, Limita judetului Bistrita Nasaud/ Suceava - Suceava, km 116+000 - km 255+000</t>
  </si>
  <si>
    <t>Desi lucrarile au fost in totalitate finalizate, in cadrul proiectului mai este necesar a se efectua plati pentru sentinte civile</t>
  </si>
  <si>
    <t>Urmare a rezilierii lotului 3 o parte din lucrari nu au mai fost executate (de ex. spatiile de servicii). Totusi, si in acest caz lotul 3 este functional.</t>
  </si>
  <si>
    <t>Desi lucrarile au fost in totalitate finalizate, in cadrul proiectului mai este necesar a se efectua plati pentru sentinte civile, sentinte arbitrale, etc.</t>
  </si>
  <si>
    <t>Desi lucrarile au fost in totalitate finalizate, in cadrul proiectului mai este necesar a se efectua plati pentru: sentinte civile, certificate finale, asistenta juridica, audit de siguranta rutiera, etc.</t>
  </si>
  <si>
    <t>Desi lucrarile au fost in totalitate finalizate, in cadrul proiectului mai este necesar a se efectua plati pentru: sentinte civile, certificate finale, asistenta juridica, audit de siguranta rutiera, sentinte arbitrale etc.</t>
  </si>
  <si>
    <t xml:space="preserve">Reabilitare DN 2D Focșani - Ojdula intre km 0+000- km 118+873 </t>
  </si>
  <si>
    <t>Modernizare DN 2L Soveja-Lepșa km 60+145 - km 76+277</t>
  </si>
  <si>
    <t>Reabilitare DN 1 , Limita jud. Brasov/Sibiu - Veștem km 261+130 - 296+300</t>
  </si>
  <si>
    <t>Valoarea actualizata a proiectului s-a majorat cu valoarea din Decizia Arbitrala ICC Case 18851/GZ/GFG/FS/09.11.2017</t>
  </si>
  <si>
    <t>VENA A1-DN7=  41.906.102
VENA DN2-A2=  73.969.186</t>
  </si>
  <si>
    <t>Reabilitarea liniei de cale ferată Braşov-Simeria, componentă a Coridorului Rin - Dunăre, pentru circulaţia trenurilor cu viteza maximă de 160 km/h, tronsonul Braşov – Sighişoara
Finantat din fonduri CEF și buget de stat</t>
  </si>
  <si>
    <t>Varianta de ocolire a municipiului Zalău, etapa 2, între DN1F, km 79+625 - DJ 191C</t>
  </si>
  <si>
    <t>Varianta de ocolire Galaţi, judeţul Galaţi</t>
  </si>
  <si>
    <t>Modernizare şi extindere capacitate de operare în portul Medgidia</t>
  </si>
  <si>
    <t>Consolidare şi restaurare Cazino Constanţa - (clădire S + P + 1E + M, pod parţial şi rampa de acces către subsol) şi lucrări exterioare (reabilitarea platformă terasă, reţele utilităţi, zid de apărare şi balustradă)</t>
  </si>
  <si>
    <t>MLPDA</t>
  </si>
  <si>
    <t>Spital Regional de Urgenţă Cluj</t>
  </si>
  <si>
    <t>Spital Regional de Urgenţă Craiova</t>
  </si>
  <si>
    <t>Drum expres Brăila - Galaţi</t>
  </si>
  <si>
    <t>Legãturã Centurã Oradea (Girație Calea Sîntandrei) – Autostrada A3 (Biharia), județul Bihor</t>
  </si>
  <si>
    <t xml:space="preserve">Modernizare drum național DN 1S km 0+000 – km 23+830 </t>
  </si>
  <si>
    <t>Drum de legătură autostrada A1 Arad - Timişoara - DN 69, judeţul Timiş</t>
  </si>
  <si>
    <t>Modernizare DN 29D Botoşani–Ştefăneşti, km 2+800 - km 18+500 şi km 21+800 - km 48+146, judeţul Botoşani</t>
  </si>
  <si>
    <t>Drum de legătură DN 66A km 47+600 - km 66+204, Câmpu lui Neag–Cerna", judeţul Gorj</t>
  </si>
  <si>
    <t>2024</t>
  </si>
  <si>
    <t>Finalizare digului de larg în Portul Constanţa  (Finanțat din titlul 56.01 - Programe din Fond de Dezv. Regionala., POST)</t>
  </si>
  <si>
    <t>MEEMA</t>
  </si>
  <si>
    <t>MEC</t>
  </si>
  <si>
    <t>MMAP</t>
  </si>
  <si>
    <t>`</t>
  </si>
  <si>
    <t>Construire sală polivalenta Municipiul Tulcea</t>
  </si>
  <si>
    <t>Centura municipiului Rădăuti, jud. Suceava</t>
  </si>
  <si>
    <t>Ministerul Mediului, Apelor și Pădurilor</t>
  </si>
  <si>
    <t>doar SF 0,01-99,99</t>
  </si>
  <si>
    <t>TOTAL SF0+SF100</t>
  </si>
  <si>
    <t>DOAR 0,01-99</t>
  </si>
  <si>
    <t xml:space="preserve">total sf 0+ sf100 </t>
  </si>
  <si>
    <t xml:space="preserve"> Platforma Multimodală Galați – înlăturarea blocajelor majore prin   modernizarea infrastructurii existente și asigurarea conexiunilor lipsă pentru rețeaua centrală Rhin – Dunăre / Alpi (finanțare CEF Transport 2015-RO-TM-0275-W, POIM 2014 - 2020 și surse private)</t>
  </si>
  <si>
    <t>2025</t>
  </si>
  <si>
    <t xml:space="preserve">Obiectivul va fi preluat de MDLPA - CNI SA pentru finalizare.
Estimăm ca finalizarea va avea loc în anul 2025.
</t>
  </si>
  <si>
    <t>30.06.2023</t>
  </si>
  <si>
    <r>
      <t>„Drum TransRegio (TR ISTER) Braila - Slobozia - Calarasi - Chiciu, Etapa 1-</t>
    </r>
    <r>
      <rPr>
        <b/>
        <sz val="12"/>
        <rFont val="Times New Roman"/>
        <family val="1"/>
      </rPr>
      <t xml:space="preserve"> Pasaj denivelat pe DN21</t>
    </r>
    <r>
      <rPr>
        <sz val="12"/>
        <rFont val="Times New Roman"/>
        <family val="1"/>
      </rPr>
      <t xml:space="preserve">, km 105+500 </t>
    </r>
  </si>
  <si>
    <t xml:space="preserve"> -</t>
  </si>
  <si>
    <t>Lot 1: Receptionat final in noiembrie 2018
Lot 2:
1. Receptie la Terminarea Lucrarilor  Sectiunile A, B, C si Nod Rutier Margina (km 27+620 - km 43+060) - 03.03.2017;
2. Proiectare si executie lucrari pentru obiectivul major de investitii Autostrada Lugoj - Deva (A1) Lot 2 km 27+620 - km 56+220 Sectiunea E si finalizare Sectiunea D- decembrie 2023;
Lot 3: Reziliat la data de 27.08.2019;
deschidere trafic 23.12.2019
Lot 4: Receptie la terminarea lucrarilor 12.08.2019</t>
  </si>
  <si>
    <t>trim IV 2022</t>
  </si>
  <si>
    <t>trim II 2023</t>
  </si>
  <si>
    <t>A1-DN7: oct 2022 
DN2-A2: aug 2021</t>
  </si>
  <si>
    <t>trim IV 2021</t>
  </si>
  <si>
    <t>Varianta de ocolire Targu Frumos</t>
  </si>
  <si>
    <t>Modernizare DN 7A Brezoi - Petrosani,  km 0+000 - 86+600, sector km 0+000 - 62+000</t>
  </si>
  <si>
    <t>3,10%</t>
  </si>
  <si>
    <t xml:space="preserve">Varianta de ocolire a municipiului Iasi -etapa I - Varianta Sud </t>
  </si>
  <si>
    <t>Sistem integrat pentru interventia la dezastre, urgente si crize</t>
  </si>
  <si>
    <t>SPP</t>
  </si>
  <si>
    <t>decembrie 2023</t>
  </si>
  <si>
    <t>Extindere si etajare Corp C1, conversie functionala in Academia de Muzica, extindere corp C2 si conversie functionala in ateliere de intretinere pentru cladirea principala, extindere si amenajare sala de sport in corp C4, str.Bucium FN, mun. Cluj  Napoca, jud. Cluj</t>
  </si>
  <si>
    <t>Interconectarea clădirilor existente și construcție nouă în incinta Spitalului Clinic Județean de Urgență «Pius Brânzeu» Timișoara în vederea reorganizării circuitelor medicale pentru departamentele: Unitate Primiri Urgențe (UPU), Chirurgie, Anestezie și Terapie Intensivă (ATI) și Centru de Mari Arși</t>
  </si>
  <si>
    <t>Stadiu fizic
 (%)</t>
  </si>
  <si>
    <t>Termenul de finalizare a proiectului</t>
  </si>
  <si>
    <t>Anexa 1 la memorandum</t>
  </si>
  <si>
    <t>LISTA</t>
  </si>
  <si>
    <t>proiectelor de investiţii publice semnificative prioritizate</t>
  </si>
  <si>
    <t>proiectelor de investiţii publice semnificative prioritizate cu stadiul fizic 100%</t>
  </si>
  <si>
    <t>Indicatori eficienţă economică 
(euro / %)</t>
  </si>
  <si>
    <t>Stadiu valoric 
(%)</t>
  </si>
  <si>
    <t>Podul nou de la Cosmesti, peste Siret, pe DN 24 km 7+620 (inclusiv varianta de drum nou de cca. 5,6 km)</t>
  </si>
  <si>
    <t>Varianta Ocolitoare Sfantu Gheorghe</t>
  </si>
  <si>
    <t>Varianta de ocolire Buftea</t>
  </si>
  <si>
    <t>Varianta de ocolire Husi</t>
  </si>
  <si>
    <t>Varianta de ocolire Iasi - etapa 2- Varianta Nord</t>
  </si>
  <si>
    <t>Pod peste Tisa in zona Teplita din Sighetul Marmatiei</t>
  </si>
  <si>
    <t>Varianta ocolitoare Giurgiu</t>
  </si>
  <si>
    <t>Port Brăila - lucrări de infrastructură portuară a sectorului portuar din incinta Bazin Docuri (Finanțat din titlul 58, POIM, HG nr. 894/2020)</t>
  </si>
  <si>
    <t>DANUBE - Rețea de acces la Dunăre  - Deblocarea circulației în Europa prin dezvoltarea în România a unei infrastructuri de porturi TEN-T de înaltă calitate în condiții economice optime - Port Giurgiu, HG nr. 284/2021, finanțare POIM 2014 - 2020, titlul 58</t>
  </si>
  <si>
    <t>Reabilitarea și modernizarea infrastructurii de transport naval în porturile din afara rețelei TEN-T - Port Corabia, HG nr. 285/2021, finanțare POIM 2014 - 2020, titlul 58</t>
  </si>
  <si>
    <t>Modernizarea infrastructurii de distribuție a energiei electrice în Portul Constanța; HG nr. 413 /2021, finanțare POIM 2014 - 2020, titlul 58</t>
  </si>
  <si>
    <t>Construire Terminal Plecari Curse Externe</t>
  </si>
  <si>
    <t xml:space="preserve">S.N.  Aeroportul Internațional Timișoara ”Traian Vuia” S.A. </t>
  </si>
  <si>
    <t>MTI</t>
  </si>
  <si>
    <t>MDLPA</t>
  </si>
  <si>
    <t>MDLPA prin C.N.I. S.A. pe perioada realizării investiței U.A.T. Cluj dupa finalizare</t>
  </si>
  <si>
    <t>MDLPA prin C.N.I. S.A. pe perioada realizării investiței SI M.T. prin C.S. Rapid după finalizare</t>
  </si>
  <si>
    <t>MDLPA prin C.N.I. S.A. pe perioada realizării investiței, respectiv UAT Constanța dupa finalizare</t>
  </si>
  <si>
    <t>MDLPA prin C.N.I. S.A. pe perioada realizării investiței, respectiv UAT Tulceaa dupa finalizare</t>
  </si>
  <si>
    <t>Modernizarea linie CF Bucureşti Nord-Jilava-Giurgiu Nord-Giurgiu Nord Frontieră"-Lotul 1: Redeschiderea circulaţiei feroviare pe pod, peste râul Argeş între Vidra şi Comana</t>
  </si>
  <si>
    <t>MCID</t>
  </si>
  <si>
    <t>Lucrări de investiții și  intervenții în cazarma 705 Pitești</t>
  </si>
  <si>
    <t>Realizare pavilion nou medicina operațională - politraumă D+P+4E, drum acces și rețele în cazarma 646 Brașov</t>
  </si>
  <si>
    <t>MDLPA prin C.N.I. S.A. pe perioada realizării investiței, Arhiepiscopia Romanului si Bacaului,  dupa realizarea investitiei</t>
  </si>
  <si>
    <t>Construire Camin Studentesc Universitatea de Vest Timisoara</t>
  </si>
  <si>
    <t>MDLPA prin C.N.I. S.A. pe perioada realizării investiței, respectiv Universitatea de Vest din Timisoara dupa finalizarea investitiei</t>
  </si>
  <si>
    <t>Complex Multifunctional Sala Polivalenta Brasov, Municipiul Brasov, judet Brasov</t>
  </si>
  <si>
    <t>“Reabilitare, extindere si dotare corp spital nou C1+C2”, Spitalul Judetean de Urgenta Giurgiu, jud. Giurgiu</t>
  </si>
  <si>
    <t>MDLPA prin C.N.I. S.A. pe perioada realizării investiței, respectiv  Consiliul Judetean Giugiu dupa finalizare</t>
  </si>
  <si>
    <t>MDLPA prin C.N.I. S.A. pe perioada realizării investiței, respectiv U.A.T. Municipiul  Brasov dupa finalizare</t>
  </si>
  <si>
    <t>Sala Polivalenta 5000 locuri, municipiul Suceava, județul Suceava</t>
  </si>
  <si>
    <t>MDLPA prin C.N.I. S.A. pe perioada realizării investiței, respectiv U.A.T. Suceava dupa finalizare</t>
  </si>
  <si>
    <t>Construirea unui centru de arşi şi reorganizarea fluxurilor medicale ale spitalului pentru o mai bună poziţionare şi conectare a Departamentelor Urgenţă, ATI şi chirurgie pentru Spitalul Clinic de Urgenţă pentru Copii «Grigore Alexandrescu» Bucureşti</t>
  </si>
  <si>
    <t>Spitalul Clinic de Urgenţă pentru Copii «Grigore Alexandrescu» Bucureşti"</t>
  </si>
  <si>
    <t>Spitalul Universitar de Urgenta Bucuresti</t>
  </si>
  <si>
    <t>DSP Timisoara</t>
  </si>
  <si>
    <t>Spitalul Clinic Județean de Urgență «Pius Brânzeu» Timișoara</t>
  </si>
  <si>
    <t>P47 Berceni  - Penitenciar 1000 de locuri cu regim de maximă siguranţă şi închis – Penitenciarul Ploieşti  – judeţul Prahova</t>
  </si>
  <si>
    <t>Administrația Națională a Penitenciarelor</t>
  </si>
  <si>
    <t>P48 Unguriu  - Penitenciar 900 de locuri cu regim semideschis şi deschis” – Penitenciarul Focșani, jud. Buzău</t>
  </si>
  <si>
    <t>Tribunalul Neamț și Judecătoria Piatra Neamț</t>
  </si>
  <si>
    <t>Curtea de Apel Ploiești și Tribunalul Prahova</t>
  </si>
  <si>
    <t>Cheltuieli efectuate pana la 31.12.2020</t>
  </si>
  <si>
    <t>Reabilitarea podului de la Borcea, A2, km 149+680</t>
  </si>
  <si>
    <t>Reabilitare si Extindere Asezamant Spitalicesc PRECISTA</t>
  </si>
  <si>
    <r>
      <t xml:space="preserve">Magistrala 5 Drumul Taberei - Pantelimon. 
</t>
    </r>
    <r>
      <rPr>
        <i/>
        <sz val="12"/>
        <rFont val="Times New Roman"/>
        <family val="1"/>
      </rPr>
      <t xml:space="preserve"> (Imprumut BEI, Programul Operational Sectorial Transporturi 2007-2013,  Programul Operațional Infrastructură Mare aferent cadrului financiar 2014-2020) </t>
    </r>
  </si>
  <si>
    <t>91,67%</t>
  </si>
  <si>
    <t>2026</t>
  </si>
  <si>
    <t>2035</t>
  </si>
  <si>
    <t>Buget alocat 2021</t>
  </si>
  <si>
    <t>Rest de finanţat până la finalizarea proiectului 
-mii lei-</t>
  </si>
  <si>
    <t>31.12.2023</t>
  </si>
  <si>
    <t>Lot 1: 2021
Lot 2: 2021
Lot 3: Receptie la Terminarea Lucrarilor - iulie 2018
Lot 4: Receptie la Terminarea Lucrarilor - iulie 2018
nod rutier Dumbrava 2022</t>
  </si>
  <si>
    <t>Lot I : Finalizat 2019
Lot II: iunie 2021</t>
  </si>
  <si>
    <t>LOT 5 decembrie 2021
LOT 7 - noiembrie 2021</t>
  </si>
  <si>
    <t>trim III 2021</t>
  </si>
  <si>
    <t>trim IV 2023</t>
  </si>
  <si>
    <t>PVRTL 10.05.2021</t>
  </si>
  <si>
    <t xml:space="preserve"> PC</t>
  </si>
  <si>
    <t>Cheltuieli efetuate pana la 31.12.2020</t>
  </si>
  <si>
    <t>146,6 mii</t>
  </si>
  <si>
    <t>contractele de executie lucrari sunt in faza de licitatie</t>
  </si>
  <si>
    <t>Valoare actualizata din anexa 3/24/29 de la legea bugetului de stat reprezinta valoarea de implementare a proiectului, conform contractelor semnat, respectiv estimate a fi semnate in perioada urmatoare</t>
  </si>
  <si>
    <t>Confirma ca stadiul fizic este de 60%, platile urmand a fi efectuate in perioada urmatoare, tinand cont de faptul ca pentru indeplinirea conditiilor de plata a fost necesara o perioada mai mare de timp pentru colectarea documentelor justificative</t>
  </si>
  <si>
    <t>Termenele de finalizare sunt inscrise in conformitate cu prevederile contractuale urmand a fi actualizate ulterior aditionarii contractelor de executie lucrari</t>
  </si>
  <si>
    <t>Bucuresti - Ploiesti : 2018, RTL - 2019
Ploiesti - Comarnic: NA
Comarnic - Brasov: NA
(Predeal - Cristian, lot 2: 2021)
Parcari Bucuresti  - Ploiesti: 2021</t>
  </si>
  <si>
    <t>trim II 2025</t>
  </si>
  <si>
    <t xml:space="preserve"> contract reziliat</t>
  </si>
  <si>
    <t>Plati la 31.03.2021</t>
  </si>
  <si>
    <t xml:space="preserve">Pentru diferenta intre stadiul fizic si cel valoric, Antreprenorul nu a inaintat inca situatiile de lucrari necesare intocmirii Certificatelor de Plata.   Intarzierea aparuta la nivelul intocmirii situatiilor de plata este cauzata, cu precadere,  de asezarea cantitatilor rezultate in urma elaborarii Proiectului Tehnic de Executie in conformitate cu oferta financiara (liniile din Graficul de Esalonare a Pretului). Trebuie mentionat ca lucrarile la prezentul obiectiv de investitii se realizeaza in baza unui Contract de Proiectare si Executie al carui continut cadru este in conformitate cu prevedrile HG 1/2018. Prin urmare, Contractul este unul in suma forfetara, iar platile se fac in baza Graficului de Plati inclus in oferta financiara. Pe masura ce se va definitiva corespondenta intre listele de cantitati din Proiectul Tehnic de Executie si preturile ofertate in Graficul de Esalonare a Pretului, se vor putea definitiva situatiile de lucrari si inainta catre verificare si intocmire Certificat de Plata .   
</t>
  </si>
  <si>
    <t>Creditele bugetare vor fi solicitate  corelat cu valoare contractata.</t>
  </si>
  <si>
    <t>Având în vedere termenul de finalizare aprobat prin Actul aditional nr. 3/115.05.2019 la Contractul de finantare 1/07.07.2016 se va solicita prorogarea termenului din HG 918/15.11.2018</t>
  </si>
  <si>
    <t>31.12.2021</t>
  </si>
  <si>
    <t>A fost încheiat Actul Adițional nr. 9 la Ordinul de finanțare nr.919/2016, prin care s-a prevăzut prelungirea termenului de finalizare pentru data de 31.12.2021, precum și actualizarea valorii proiectului la suma de 334.226 mii lei</t>
  </si>
  <si>
    <t>Costul total aprobat inițial actualizat  a fost depășit dar costul total al proiectului aprobat prin HG 621/2016, actualizat atât cu indicii de prețuri cât și datorită  apariției unor lucrări suplimentare generate de noile condiții  apărute, precum și ca urmare a necesității adoptării soluțiilor la acestea, nu a fost depășit.</t>
  </si>
  <si>
    <t>Este necesara actualizarea documentatiei care va decide stoparea sau continuarea obiectivului de investiii. Bugetarea se va face ulterior aprobarii, dupa caz.  Costul total aprobat inițial actualizat  a fost depășit dar costul total al proiectului aprobat prin HG 67/2014, actualizat atât cu indicii de prețuri cât și  datorită  lucrărilor suplimentare apărute ca urmare a efectelor viiturilor înregistrate, nu a fost depășit.</t>
  </si>
  <si>
    <t>Lucrare finalizata. PVRTL nr. 17514/30.12.2015
In derulare asistenta juridica pentru expropriere terenuri, din suma ramasa de finantat se vor finaliza exproprierile. Stadiul fizic al lucrarilor este de 100%.  Este o diferenta la cheltuieli efectuate motivat de faptul ca in PIP  la cheltuieli preliminate 2019 a fost integistrat bugetul alocat pe anul 2019 in suma de 209 mii lei  si conform monitorizarii  din luna decembrie 2019 nu s au efectuat plati. Se va face reglarea in PIP 2021</t>
  </si>
  <si>
    <t>Proiectul se află în etapa de achiziție a proiectării și execuției lucrărilor de construire</t>
  </si>
  <si>
    <t>Din punct de vedere fizic proiectul se finalizează în anul 2021; 
Suma de la valoarea actualizată a proiectului este suma din contractul de finanțare semnat între CN APM SA Constanța DGOIT (POIM 2014 - 2020)</t>
  </si>
  <si>
    <t>Obiectiv de investiții finalizat în anul 2019 (recepție finală);
Suma de la valoarea actualizată a proiectului este suma din contractul de finanțare semnate între CN APM SA Constanța și AM POST 2007 - 2013</t>
  </si>
  <si>
    <t>Suma de la valoarea actualizată a proiectului este suma din contractul de finanțare semnate între CN APM SA Constanța și AM POST 2007 - 2013</t>
  </si>
  <si>
    <t>Se va depune cerere de finanțare pe POIM și proiectul va fi introdus in bugetul anului 2021</t>
  </si>
  <si>
    <t xml:space="preserve">Stadiul fizic este raportat la întregul obiectiv de investiții </t>
  </si>
  <si>
    <t xml:space="preserve">  Stadiul de implementare: 
- În prezent se derulează procedura de obtinere a Acordului de mediu si  Agentia de Protectia Mediului Calarasi, la care s-a depus documentatia a solicitat obtinerea Avizului de gospodarire a apelor. Pentru obtinerea acestui aviz, a fost necesara elaborarea Studiului de Evaluare a Impactului asupra Corpului de Apa (SEICA). Consultantul EGIS EAU împreună cu expertul de mediu din cadrul UIP au elaborat Studiul SEICA, care a fost deja depus la Administratia Bazinala de Apa Buzau - Ialomita. 
- Având in vedere starea de urgență declarată la nivel național, estimăm că termenele de răspuns prevăzute în legislația specifică, se vor decala.</t>
  </si>
  <si>
    <t xml:space="preserve">Conform Formular F 01 comunicat de Organismul Intermediar pentru Transport pentru anul 2021 </t>
  </si>
  <si>
    <t xml:space="preserve">a mai ramas de efectuat receptia pentru substatia electronica din Predeal. </t>
  </si>
  <si>
    <t>Referitor la col.8: Valoarea proiectulului a fost actualizata în anul 2013 și este de 340.508 mii lei.</t>
  </si>
  <si>
    <t xml:space="preserve"> - Proiectul NU mai respectă rolul și funcțiile sale principale și NU mai reprezintă ca prioritate în cadrul strategiilor (naționale, sectoriale, regionale, etc.) în domeniul transporturilor. 
- Finanțarea va afecta alocările bugetare pentru alte proiecte cuprinse în programul de investiții
- Studiul de fezabilitate care a stat la baza aprobării obiectivului/proiectului de investiții publice și a indicatorilor tehnico-economici ai acestuia NU mai este de actualitate.
Referitor la cheltuielile estimate pt. anul curent (col.11), facem precizarea ca pe parcursul anului 2021 vor interveni modificări in funcție de sentințele de la Curtea de arbitraj.</t>
  </si>
  <si>
    <t>Valoarea de 295.972 mii lei din coloana 10 reprezinta cheltuielile real realizate. Valoarea de 765.380 mii lei prezentata ca si cheltuieli preliminate reprezinta valoarea din formularele F12 aprobate la finalul anului 2020 de catre MIPE.</t>
  </si>
  <si>
    <t>sunt litigii in derulare/Nota de debit a CE pentru inchiderea Masurii ISPA PT 001.</t>
  </si>
  <si>
    <t>Stadiul financiar de 15%, reprezinta avansul acordat antreprenorului conform prevederilor contractuale.</t>
  </si>
  <si>
    <t>estimat 2022</t>
  </si>
  <si>
    <t>finalizat 2020</t>
  </si>
  <si>
    <t>71.32%</t>
  </si>
  <si>
    <t>79.50</t>
  </si>
  <si>
    <t>Tg. Mures - Ogra Lot 1: 2021
Tg. Mures - Ogra Lot 2: finalizat decembrie 2018
Ogra - Campia Turzii Lot 1: finalizat decembrie 2018
Ogra - Campia Turzii Lot 2: 2020
Ogra - Campia Turzii Lot 3: 2021
Campia Turzii - Gilau: finalizat 2010 
Pod Somes: finalizat 2018
Gilau - Nadaselu: 2017
Nadaselu-Mihaesti: 2023
Mihaesti- Suplacu de Barcau: 2023
Suplacu de Barcau - Bors: 2022</t>
  </si>
  <si>
    <t>Lot 1: Receptie finala 2018
Lot 2: Receptie finala - noiembrie 2018
Lot 3: in circulatie, finalizat
Lot 4: RTL 2014</t>
  </si>
  <si>
    <t>finalizat 2019</t>
  </si>
  <si>
    <t xml:space="preserve">ob 1- finalizat 2017
ob 2-2024
ob 3- lansare licitatie 2020
ob4-2024
 </t>
  </si>
  <si>
    <t>finalizat 2017</t>
  </si>
  <si>
    <t>finalizat 2015</t>
  </si>
  <si>
    <t>finalizat 2012</t>
  </si>
  <si>
    <t>estimat trim III 2021</t>
  </si>
  <si>
    <t>finalizat 2013</t>
  </si>
  <si>
    <t>Receptie finala Arad-Timisoara: finalizat decembrie 2018
Receptie finala VO Arad - finalizat august 2017</t>
  </si>
  <si>
    <t>finalizat 2014</t>
  </si>
  <si>
    <t>finalizat 2016</t>
  </si>
  <si>
    <t>finalizat 2011</t>
  </si>
  <si>
    <t>Lot 1: 2010 finalizat
Lot 2: 2010 finalizat</t>
  </si>
  <si>
    <t>Sectorul 4: Drajna–Fetesti:finalizat 2007
Sectorul 5 Fetesti-Cernavoda: finalizat 2006</t>
  </si>
  <si>
    <t>finalizat 2018</t>
  </si>
  <si>
    <t>finalizat 2007</t>
  </si>
  <si>
    <t xml:space="preserve">Desi lucrarile au fost in totalitate finalizate, in cadrul proiectului mai este necesar a se efectua plati pentru sentinte civile.
</t>
  </si>
  <si>
    <t>Avand in vedere ca la momentul prezentei acesta face parte din cererea de finantare aferenta perioadei de programare POIM 2014-2020 pentru proiectul “Autostrada Transilvania, secțiunea Nusfalau - Biharia, inclusiv drum de legatură cu municipiul Oradea”, necesarul din 2021 pentru acest proiect a fost introdus in obiectivul Autostrada Brasov- Cluj - Bors cu cod fisa 415.
Totusi, tinand cont ca indicatorii tehnico-economici ai acestui proiect au fost aprobati prin HG nr.387/2019, la proxima recitificare bugetara CNAIR va intreprinde demersurile in vederea intocmirii unei fise investitii distincte.</t>
  </si>
  <si>
    <t xml:space="preserve">Valoarea inscrisa în PIP (Anexa 3/24/29) este conforma cu valoarea din cadrul Formularului cod 1 aprobat (anexat) ce a fost emis in vederea aprobarii de catre MTI a cererii de finantare si ulterior a semnarii contractului de finantare in cadrul POIM 2014-2020. Cererea de finantare se afla la momentul prezentei in analiza la nivelul MTI si conform discutiilor purtate cu reprezentantii MTI, aceasta va fi supusa modificarii prin diminuarea valorii de proiect pana la concurenta sumei aprobate conform Ordinului MT nr.764/2017. Ulterior revizuirii si aprobarii Formularului cod 1in conformitate cu art. 11, alin. (21) din cadrul OUG 17/2018 de modificare și completare a OUG 40/2015 și art. XV din OUG 7/16.03.2016, CNAIR SA va proceda la modificarea valorii inscrisa în PIP (Anexa 3/24/29) </t>
  </si>
  <si>
    <t>Valoarea totala de proiect inscrisa in Anexa 3 a fost actualizata conform valorii din cadrul Ordinului MTI 928/15.11.2011</t>
  </si>
  <si>
    <t xml:space="preserve">A fost modificata valoarea din Anexa 3 conform Ordinului MTIC nr. 1032/2020 </t>
  </si>
  <si>
    <t>In vederea justificarii valorii inscrise in coloana 8 – Valoarea actualizata a proiectului, va transmitem anexat Avizul MTI 25/23/2010, cu mentiunea ca termenul de finalizare este inscris in conformitate cu prevederile contractuale, urmand a fi actualizat ulterior aditionarii contractului de executie lucrari</t>
  </si>
  <si>
    <t>Desi lucrarile au fost in totalitate finalizate, in cadrul proiectului mai este necesar a se efectua plati pentru: sentinte civile, lucrari execute, asistenta juridica, audit de siguranta rutiera, etc.
- Valoarea totala de proiect in cuantum de 1.721.099 mii lei, introdusa în PIP (Anexa 3/24/29), cuprinde atat sumele aferente proiectului Constructia Variantei de Ocolire a Municiupiului Constanta la standard de autostrada, cat si componenta aferenta podurilor dobrogene si calamitati. 
In Anexa 3 la coloana 8 „Valoare actualizata a proiectului”, valoarea cumulata din fisa de investitii pentru proiectul cod 413 se va calcula insumand valoarea proiectului inscris la pozitia 8 (1.132.285 mii lei), cu valoarea proiectului inscris la pozitia 44 (730.162 mii lei), rezultand o valoare total de 1.862.447 mii lei. 
Astfel se observa faptul ca valoarea din Anexa 3 este mai mare decat cea inscrisa in în PIP (Anexa 3/24/29). 
Totodata, precizam ca a fost actualizata coloana 10 „Cheltuieli efectuate pana la 31 decembrie 2020”.</t>
  </si>
  <si>
    <t>(contract reziliat in data de 29.12.2017)
Reluare licitatie 2021
In cadrul proiectului sus mentionat, in data de 29.12.2017, în baza prevederilor art. 1321 din Codul Civil, a fost încheiat Acordul de voință al Părților nr. 92/101332 privind încetarea contractului de execuție nr. 92/38100/30.06.2014  “Construcția variantei de ocolire Târgu Mureș”. In vederea lansarii procedurii de licitatie pentru restul lucrarilor ramase de executat au fost cuprinse în PIP (Anexa 3/24/29) credite de angajament si bugetare aferente valorii estimate pentru nou contract ce se va semna. 
In consecinta, la nivelul CNAIR SA a fost demarata procedura de actualizare a indicatorilor tehnico-economici.</t>
  </si>
  <si>
    <t xml:space="preserve"> Termenul de finalizare este inscris in conformitate cu prevederile contractuale, urmand a fi actualizat ulterior aditionarii contractului de executie lucrari</t>
  </si>
  <si>
    <t>A  fost modificata valoarea actualizata de proiect (coloana 8) in conformitate cu Ordinul MTI nr.1070/2020 (anexat). Termenul de finalizare este conform contractului de lucrari, insa la data prezentei pentru acesta nu a fost emisa Autorizatia de Constructie</t>
  </si>
  <si>
    <t>Desi lucrarile au fost in totalitate finalizate, in cadrul proiectului mai este necesar a se efectua plati pentru sentinte civile
Valoarea totala a proiectului inscrisa in PIP (Anexa 3/24/29) reprezinta valoarea de executie a proiectului asa cum au fost semnate si implementate contractele de achizitie publica pentru toate obiectivele, respectiv 1A, 1B, 1C, 1D, 2,3,4, 5A si 5B.
Mentionam ca stadiul fizic este 99% deoarece pentru obiectivul 5A a fost realizata Receptia la Terminarea Lucrarilor, urmand ca pe perioada de garantie sa fie efectuate lucrarile ramase de executat. Pentru toate celelalte obiective a fost efectuata inclusiv Receptia Finala</t>
  </si>
  <si>
    <t>Desi lucrarile au fost in totalitate finalizate, in cadrul proiectului mai este necesar a se efectua plati pentru sentinte civile
Pentru acest proiect a fost efectuata Receptia la Terminarea Lucrarilor, in perioada de garaintie Antreprenorul avand de efectuat lucrari pentru marcaje rutiere si parapeti</t>
  </si>
  <si>
    <t>Termenul de finalizare este inscris in conformitate cu prevederile contractuale, urmand a fi actualizat ulterior aditionarii contractului de executie lucrari</t>
  </si>
  <si>
    <t>Desi lucrarile au fost in totalitate finalizate, in cadrul proiectului mai este necesar a se efectua plati pentru sentinte civile
Valoarea actualizată a proiectului introdusa în PIP (Anexa 3/24/29) difera de cea din Anexa 3 din cauza diferentelor minore datorate cursului valutar utilizat. Astfel, precizam faptul ca am actualizat valoarea de proiect din cadrul Anexei 3 conform cu cea din PIP.</t>
  </si>
  <si>
    <t>Desi lucrarile au fost in totalitate finalizate, in cadrul proiectului mai este necesar a se efectua plati pentru sentinte civile, sentinte arbitrale, etc.
Valoarea inscrisa în PIP (Anexa 3/24/29) va fi actualizata cu ocazia urmatoarei rectificari bugetara conform valorii din HG-urilor de aprobare a Indicatorilor Tehnico-Economici: HG 187/2018 si  HG 188/2018</t>
  </si>
  <si>
    <t xml:space="preserve">Proiectul a fost derulat in conformitate cu Legea 500/2202, art. 45 Acordurile internaţionale legate de investiţiile publice "Toate angajamentele legale, din care rezultă o cheltuială pentru investiţiile publice şi alte cheltuieli asimilate investiţiilor, cofinanţate de o instituţie internaţională, se vor efectua în conformitate cu prevederile acordului de finanţare.", motiv pentru care nu a existat obligativitatea emiterii sau actualizarii indicatorilor tehnico-economici.
LEGE nr. 330 /22.11.2007 privind aprobarea Ordonanţei de urgenţă a Guvernului nr. 71/2007 pentru aprobarea Contractului de finanţare dintre România, Banca Europeană de Investiţii şi Compania Naţională de Autostrăzi şi Drumuri Naţionale din România - S.A. pentru finanţarea Proiectului privind reabilitarea drumurilor, Etapa a VI-a    </t>
  </si>
  <si>
    <t>Desi lucrarile au fost in totalitate finalizate, in cadrul proiectului mai este necesar a se efectua plati pentru sentinte civile
In cadrul Formularului cod 29 au fost cuprinse toate cheltuielile aferente proiectului, atat cele curente, cat si cele de capital. Pentru aceste proiect au fost decontate inclusiv sume aferente sentintelor arbitrale, penalitati, dobanzi, cheluieli de judecata, plati ce nu sunt de natura investitiilor. 
Astfel, cu ocazia primei rectificari bugetare, in cazul in care ordonanta de urgenta pentru rectificare va permite actualizarea „Anilor Anteriori”, CNAIR va actualiza sumele inscrise în PIP (Anexa 3/24/29) prin diminuarea acestora cu valoarea platilor reprezentand cheltuieli care nu sunt de natura investitiilor.</t>
  </si>
  <si>
    <t>Desi lucrarile au fost in totalitate finalizate, in cadrul proiectului mai este necesar a se efectua plati pentru sentinte civile
Valoarea actualizată a proiectului introdusa în PIP (Anexa 3/24/29) difera de cea din Anexa 3 din cauza diferentelor minore datorate cursului valutar utilizat. Astfel, precizam faptul ca am actualizat valoarea de proiect din cadrul Anexei 3 conform cu cea din PIP</t>
  </si>
  <si>
    <t>Proiect finalizat, restul de executat reprezinta diferenta intre HG-ITE si realizari
Desi lucrarile au fost in totalitate finalizate, in cadrul proiectului mai este necesar a se efectua plati pentru: sentinte civile, certificate finale, asistenta juridica, audit de siguranta rutiera, sentinte arbitrale etc.</t>
  </si>
  <si>
    <t>Proiectul a fost derulat in conformitate cu Legea 500/2202, art. 45 Acordurile internaţionale legate de investiţiile publice "Toate angajamentele legale, din care rezultă o cheltuială pentru investiţiile publice şi alte cheltuieli asimilate investiţiilor, cofinanţate de o instituţie internaţională, se vor efectua în conformitate cu prevederile acordului de finanţare.", motiv pentru care nu a existat obligativitatea emiterii sau actualizarii indicatorilor tehnico-economici.
Legea nr.527/09.10.2001 pentru ratificarea Contractului de Finantare dintre Romania si Banca Europeană de Investiţii şi Administraţia Naţională a Drumurilor pentru finantarea proiectului de reabilitare a drumurilor Etapa IV</t>
  </si>
  <si>
    <t>Desi lucrarile au fost in totalitate finalizate, in cadrul proiectului mai este necesar a se efectua plati pentru sentinte civile.
Valoarea actualizată a proiectului introdusa în PIP (Anexa 3/24/29) difera de cea din Anexa 3 din cauza diferentelor minore datorate cursului valutar utilizat. Avand in vedere ca prin amendamentul 6 la Memorandumul de Finantare a fost aprobata valoarea totala de 182.009.039,09 Euro, precizam faptul ca am actualizat valoarea de proiect din cadrul Anexei 3 conform cu cea din PIP.</t>
  </si>
  <si>
    <t>Desi lucrarile au fost in totalitate finalizate, in cadrul proiectului mai este necesar a se efectua plati pentru sentinte civile, sentinte arbitrale, etc.
In cadrul formularelor cod 23 aferente proiectelor cu finantare nerambursabila se cuprind toate cheltuielile aferente unui proiect, atat cele curente, cat si cele de capital. Pentru aceste proiect au fost decontate inclusiv sume aferente sentintelor arbitrale, penalitati, dobanzi, cheluieli de judecata, plati ce nu sunt de natura investitiilor. 
Astfel, cu ocazia primei rectificari bugetare, in cazul in care ordonanta de urgenta pentru rectificare va permite actualizarea „Anilor Anteriori”, CNAIR va actualiza sumele inscrise în PIP (Anexa 3/24/29) prin diminuarea acestora cu valoarea platilor reprezentand cheltuieli care nu sunt de natura investitiilor.</t>
  </si>
  <si>
    <t>Desi lucrarile au fost in totalitate finalizate, in cadrul proiectului mai este necesar a se efectua plati pentru sentinte civile
Valoarea actualizata a proiectului inscrisa în PIP (Anexa 3/24/29) a fost calculata in baza valoarii in euro din cadrul HG aferent ITE nr. 1293/2009 (365.027.195 euro) transformata in mii lei la un curs valutar estimat de 4,52 lei/euro, fata de cursul valutar de 4,2127 lei/euro utilizat in cadrul devizului general, anexa la HG nr. 1293/2009, luandu-se in considerare deprecierea cursului valutar.</t>
  </si>
  <si>
    <t>Desi lucrarile au fost in totalitate finalizate, in cadrul proiectului mai este necesar a se efectua plati pentru: sentinte civile, certificate finale, asistenta juridica, audit de siguranta rutiera, sentinte arbitrale etc.
Proiectul a fost derulat in conformitate cu Legea 500/2202, art. 45 Acordurile internaţionale legate de investiţiile publice "Toate angajamentele legale, din care rezultă o cheltuială pentru investiţiile publice şi alte cheltuieli asimilate investiţiilor, cofinanţate de o instituţie internaţională, se vor efectua în conformitate cu prevederile acordului de finanţare.", motiv pentru care nu a existat obligativitatea emiterii sau actualizarii indicatorilor tehnico-economici.
Legea nr. 86/18.03.2003 pentru aprobarea Ordonanţei de urgenţă a Guvernului nr. 159/2002 privind ratificarea Contractului de finanţare dintre România şi Banca Europeană de Investiţii şi Administraţia Naţională a Drumurilor pentru finanţarea Proiectului de reabilitare a drumurilor, Etapa a V-a</t>
  </si>
  <si>
    <r>
      <t>Ministerul Transporturilor și</t>
    </r>
    <r>
      <rPr>
        <sz val="12"/>
        <color indexed="8"/>
        <rFont val="Times New Roman"/>
        <family val="1"/>
      </rPr>
      <t xml:space="preserve"> Infrastructurii</t>
    </r>
  </si>
  <si>
    <t>Ministerul Cercetării, Inovării și Digitalizării</t>
  </si>
  <si>
    <t>Ministerul Dezvoltării, Lucrărilor Publice și Administrației</t>
  </si>
  <si>
    <t>MCDI</t>
  </si>
  <si>
    <t xml:space="preserve">nu au fost calculati
</t>
  </si>
  <si>
    <t>Proiectul de investiții nu a fost introdus în Programul de investiții publice al Ministerului Justiției pe anul 2021 și nu a fost alocat un cod de fișă.</t>
  </si>
  <si>
    <t>Avand in vedere ca la momentul prezentei, pentru sectiunile Ploiesti-Comarnic si Comarnic -Brasov nu au fost inca initiata procedura de licitatie, nu se poate estima un termen de finalizare</t>
  </si>
  <si>
    <t>Exista in curs de desfasurare la momentul prezentei procedura de licitatie aferenta contractului Proiectare si Executie "Largire la 4 benzi a centurii rutiere a Municipiului Bucuresti Sud intre A1 (km 55+520) si DN5 (km 40+000" LOT II Largire la 4 benzi a centurii rutiere a Municipiului Bucuresti Sud intre km 54+700 I si DN 5 (km 40+000), ce se estimeaza a se finaliza in Trimestrul IV 2021. 
Astfel, pentru acest proiect la momentul intocmirii proiectului de Buget de Stat aferent anului 2021, nu a putut fi intocmit un necesar aferent perioadei de executie. 
Mentionam ca in vederea semnarii acestui contract, in anul 2021 au fost alocate credite de angajament in valoare de 1.138.109 mii lei</t>
  </si>
  <si>
    <t xml:space="preserve"> 2018 este termenul la care s-a finalizat lucrarea, respectiv doua statii si depoul Straulesi 
</t>
  </si>
  <si>
    <t>Nota:</t>
  </si>
  <si>
    <t>** Informatiile prezentate pentru data programata a terminarii constituie, de asemenea, cele mai recente estimari; proiectele pentru care sunt indicate date anterioare anului 2017 sunt proiecte finalizate / receptionate si date in folosinta</t>
  </si>
  <si>
    <t>*** Coloanele 5 si 6 cuprind valorile reale executate la 31.03.2021</t>
  </si>
  <si>
    <t>**** Coloana 10 cuprinde cheltuielile finale efectuate pana la 31.12.2020</t>
  </si>
  <si>
    <t>CNCF CFR</t>
  </si>
  <si>
    <t>*) Proiectul cod fisa 421 - Electrificarea liniei CF Doaga–Tecuci–Barboşi, inclusiv dispecer pt. coordonarea activităţii de exploatare a Complexului Feroviar Galaţi, cuprinde lucrări de electrificare a liniei de cale ferată pe o distanță de 82 km linie cf dublă , 2 km linie cf simplă și  6500 mp spații tehnologice; valoarea actualizată a investiției este de 340.508 mii lei; stadiul fizic de realizare 83%;  în funcție de fondurile bugetare aprobate (repartizate) preconizăm a se finaliza în anul 2023.</t>
  </si>
  <si>
    <t xml:space="preserve">**) Proiectul cod fisa 424 - Linie nouă de cale ferată Vâlcele-Râmnicu Vâlcea, propunem eliminarea din Master Planul General de Transport al României (MPGT), deoarece:
- NU mai respectă rolul și funcțiile sale principale și NU mai reprezintă ca prioritate în cadrul strategiilor (naționale, sectoriale, regionale, etc.) în domeniul transporturilor. 
- Finanțarea va afecta alocările bugetare pentru alte proiecte cuprinse în programul de investiții
- Studiul de fezabilitate care a stat la baza aprobării obiectivului/proiectului de investiții publice și a indicatorilor tehnico-economici ai acestuia NU mai este de actualitate. 
</t>
  </si>
  <si>
    <t xml:space="preserve"> Naval</t>
  </si>
  <si>
    <r>
      <t xml:space="preserve">1. La obiectivele </t>
    </r>
    <r>
      <rPr>
        <b/>
        <sz val="12"/>
        <rFont val="Times New Roman"/>
        <family val="1"/>
      </rPr>
      <t xml:space="preserve">CDMN </t>
    </r>
    <r>
      <rPr>
        <sz val="12"/>
        <rFont val="Times New Roman"/>
        <family val="1"/>
      </rPr>
      <t xml:space="preserve">si </t>
    </r>
    <r>
      <rPr>
        <b/>
        <sz val="12"/>
        <rFont val="Times New Roman"/>
        <family val="1"/>
      </rPr>
      <t>CPAMN</t>
    </r>
    <r>
      <rPr>
        <sz val="12"/>
        <rFont val="Times New Roman"/>
        <family val="1"/>
      </rPr>
      <t xml:space="preserve"> procentul de realizare stadiu fizic s-a calculat conform datelor din HG nr. 1179/2002, legislația în vigoare la data avizării valorii actualizate a investiției,  și se referă la întregul proiect în ansamblu, respectiv Canalul Dunăre - Marea Neagră și Canalul Poarta Albă - Midia Năvodari</t>
    </r>
  </si>
  <si>
    <t>2. La obiectivele de investiții digul de larg din portul Constanța, podul peste CDMN la km 0+540 și adâncirea bazinelor în portul Constanța la valoare actualizată este trecută suma din contractele de finanțare, care este mai mică decât cea aprobată prin HG</t>
  </si>
  <si>
    <r>
      <t>3. La obiectivul de investiții</t>
    </r>
    <r>
      <rPr>
        <b/>
        <sz val="12"/>
        <rFont val="Times New Roman"/>
        <family val="1"/>
      </rPr>
      <t xml:space="preserve"> Platformă Mulimodala Galați: </t>
    </r>
  </si>
  <si>
    <t xml:space="preserve">Conform HG nr. 80/2020 finanţarea obiectivului de investiţii  se realizează în limita sumelor aprobate anual cu această destinaţie, conform programelor de investiţii publice aprobate potrivit legii, astfel:  </t>
  </si>
  <si>
    <t xml:space="preserve"> a) din fonduri externe nerambursabile prin Mecanismul pentru interconectarea Europei (CEF TRANSPORT) şi în completare de la bugetul de stat prin bugetul Ministerului Fondurilor Europene, conform prevederilor art. 6 alin. (6) din Ordonanţa de urgenţă a Guvernului nr. 40/2015 privind gestionarea financiară a fondurilor europene pentru perioada de programare 2014-2020, aprobată cu modificări şi completări prin Legea nr. 105/2016;</t>
  </si>
  <si>
    <t xml:space="preserve">b) din Programul operaţional Infrastructura mare (POIM 2014-2020) prin bugetul Ministerului Transporturilor, Infrastructurii şi Comunicaţiilor, conform art. 6 alin. (2) din Ordonanţa de urgenţă a Guvernului nr. 40/2015, aprobată cu modificări şi completări prin Legea nr. 105/2016;  </t>
  </si>
  <si>
    <t xml:space="preserve">c) din fonduri private.  </t>
  </si>
  <si>
    <t>În prezenta raportare, la buget 2021 - 2024 se raportează sumele prevăzute prin bugetul MTI, titlul 58 POIM, pentru partenerul public CN APDM SA Galați</t>
  </si>
  <si>
    <r>
      <t xml:space="preserve">Valoarea reală a proiectului este valoarea aprobată prin HG 786/2019 din care s-a scăzut valoarea studiului de fezabilitate, care a fost achitată din surse fără impact asupra bugetului, conform unui Acord încheiat în 2016 între România și Uniunea Europeană, și anume </t>
    </r>
    <r>
      <rPr>
        <b/>
        <sz val="12"/>
        <rFont val="Times New Roman"/>
        <family val="1"/>
      </rPr>
      <t>2847126</t>
    </r>
    <r>
      <rPr>
        <sz val="12"/>
        <rFont val="Times New Roman"/>
        <family val="1"/>
      </rPr>
      <t xml:space="preserve"> mii lei.</t>
    </r>
  </si>
  <si>
    <r>
      <t xml:space="preserve">Valoarea reală a proiectului este valoarea aprobată prin HG 667/2019 din care s-a scăzut valoarea studiului de fezabilitate, care a fost achitată din surse fără impact asupra bugetului, conform unui Acord încheiat în 2016 între România și Uniunea Europeană, și anume </t>
    </r>
    <r>
      <rPr>
        <b/>
        <sz val="12"/>
        <rFont val="Times New Roman"/>
        <family val="1"/>
      </rPr>
      <t>2565357</t>
    </r>
    <r>
      <rPr>
        <sz val="12"/>
        <rFont val="Times New Roman"/>
        <family val="1"/>
      </rPr>
      <t xml:space="preserve"> mii lei.</t>
    </r>
  </si>
  <si>
    <r>
      <t xml:space="preserve">Valoarea reală a proiectului este valoarea aprobată prin HG 290/2019 din care s-a scăzut valoarea studiului de fezabilitate, care a fost achitată din surse fără impact asupra bugetului, conform unui Acord încheiat în 2016 între România și Uniunea Europeană, și anume  </t>
    </r>
    <r>
      <rPr>
        <b/>
        <sz val="12"/>
        <rFont val="Times New Roman"/>
        <family val="1"/>
      </rPr>
      <t>2379575</t>
    </r>
    <r>
      <rPr>
        <sz val="12"/>
        <rFont val="Times New Roman"/>
        <family val="1"/>
      </rPr>
      <t xml:space="preserve"> mii lei.</t>
    </r>
  </si>
  <si>
    <t>In conformitate cu Decizia de reziliere a Acordului de finantare incheiat cu INEA - Termination Letter No. 2015-RO-TM-0275-W, rezilierea a intrat in vigoare incepand cu data de 26.02.2021, data de la care avem la dispozitie 60 de zile calendaristice pentru prezentarea unei Cereri de plata finala. In prezent, se afla in derulare activitatea de audit financiar  a cererii finale, cu Delloite.</t>
  </si>
  <si>
    <r>
      <rPr>
        <sz val="12"/>
        <color indexed="8"/>
        <rFont val="Times New Roman"/>
        <family val="1"/>
      </rPr>
      <t xml:space="preserve">Magistrala 5. Drumul Taberei-Pantelimon
Se execută lucrări pe
</t>
    </r>
    <r>
      <rPr>
        <u val="single"/>
        <sz val="12"/>
        <color indexed="8"/>
        <rFont val="Times New Roman"/>
        <family val="1"/>
      </rPr>
      <t>Secțiunea 1: 
Râul Doamnei-Eroilor</t>
    </r>
    <r>
      <rPr>
        <sz val="12"/>
        <color indexed="8"/>
        <rFont val="Times New Roman"/>
        <family val="1"/>
      </rPr>
      <t xml:space="preserve">, inclusiv Galeria de legătură, Stația și Depoul Valea Ialomiței
10 statii + 1 depou
 PIF:septembrie 2020
</t>
    </r>
    <r>
      <rPr>
        <u val="single"/>
        <sz val="12"/>
        <color indexed="8"/>
        <rFont val="Times New Roman"/>
        <family val="1"/>
      </rPr>
      <t>Sectiunea 2: 
Eroilor-Ianculu</t>
    </r>
    <r>
      <rPr>
        <sz val="12"/>
        <color indexed="8"/>
        <rFont val="Times New Roman"/>
        <family val="1"/>
      </rPr>
      <t xml:space="preserve">i - se află in desfăsurare  procedura de achiziție servicii de proiectare si monitorizare
 </t>
    </r>
    <r>
      <rPr>
        <u val="single"/>
        <sz val="12"/>
        <color indexed="8"/>
        <rFont val="Times New Roman"/>
        <family val="1"/>
      </rPr>
      <t>Secțiunea 3: 
Iancului -Pantelimon:</t>
    </r>
    <r>
      <rPr>
        <sz val="12"/>
        <color indexed="8"/>
        <rFont val="Times New Roman"/>
        <family val="1"/>
      </rPr>
      <t xml:space="preserve"> în pregătire </t>
    </r>
  </si>
  <si>
    <t xml:space="preserve">Proiectul a fost finalizat și recepționat în anul 2016. 
Proiectul a fost finalizat și recepționat în anul 2016. La data prezentei, urmare a finalizarii acțiunii recursului în anulare formulată de Reinhold Meister Wasserbau GmbH împotriva Sentinței arbitrale la Înalta Curte de Casație și Justiție, aceasta din urma, a emis o decizie favorabila prin care a respins recursul, hotararea, favorabila AFDJ, fiind definitiva si irevocabila. Drept urmare  nu vor mai fi necesare fonduri in cadrul proiectului.
</t>
  </si>
  <si>
    <t xml:space="preserve">Racorduri la reteaua de metrou din Bucuresti, tronsonul I Nicolae Grigorescu 2 - Anghel Saligny si tronsonul II Gara de Nord 2 - Basarab - Laminorului - Lac Straulesti </t>
  </si>
  <si>
    <t>Observații 
(comunicate de ordonatorii principali de credite)</t>
  </si>
  <si>
    <t>MINISTERUL FINANȚELOR</t>
  </si>
  <si>
    <t>Valoarea actualizată a proiectului
-mii lei-</t>
  </si>
  <si>
    <t>Rest de finanţat până la finalizarea proiectului 
-mii lei-</t>
  </si>
  <si>
    <t>Stadiu valoric
 (%)</t>
  </si>
  <si>
    <t>Anexa 2 la memorandum</t>
  </si>
</sst>
</file>

<file path=xl/styles.xml><?xml version="1.0" encoding="utf-8"?>
<styleSheet xmlns="http://schemas.openxmlformats.org/spreadsheetml/2006/main">
  <numFmts count="2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_-* #,##0.00_-;\-* #,##0.00_-;_-* &quot;-&quot;??_-;_-@_-"/>
    <numFmt numFmtId="174" formatCode="* #,##0.00&quot;      &quot;;\-* #,##0.00&quot;      &quot;;* \-#&quot;      &quot;;@\ "/>
    <numFmt numFmtId="175" formatCode="#"/>
    <numFmt numFmtId="176" formatCode="&quot;Yes&quot;;&quot;Yes&quot;;&quot;No&quot;"/>
    <numFmt numFmtId="177" formatCode="&quot;True&quot;;&quot;True&quot;;&quot;False&quot;"/>
    <numFmt numFmtId="178" formatCode="&quot;On&quot;;&quot;On&quot;;&quot;Off&quot;"/>
    <numFmt numFmtId="179" formatCode="[$€-2]\ #,##0.00_);[Red]\([$€-2]\ #,##0.00\)"/>
  </numFmts>
  <fonts count="79">
    <font>
      <sz val="10"/>
      <name val="Arial"/>
      <family val="2"/>
    </font>
    <font>
      <sz val="11"/>
      <color indexed="8"/>
      <name val="Calibri"/>
      <family val="2"/>
    </font>
    <font>
      <sz val="12"/>
      <name val="Times New Roman"/>
      <family val="1"/>
    </font>
    <font>
      <b/>
      <sz val="9"/>
      <name val="Tahoma"/>
      <family val="2"/>
    </font>
    <font>
      <sz val="9"/>
      <name val="Tahoma"/>
      <family val="2"/>
    </font>
    <font>
      <b/>
      <sz val="12"/>
      <name val="Times New Roman"/>
      <family val="1"/>
    </font>
    <font>
      <sz val="12"/>
      <color indexed="8"/>
      <name val="Times New Roman"/>
      <family val="1"/>
    </font>
    <font>
      <b/>
      <sz val="10"/>
      <name val="Times New Roman"/>
      <family val="1"/>
    </font>
    <font>
      <sz val="10"/>
      <name val="Times New Roman"/>
      <family val="1"/>
    </font>
    <font>
      <sz val="12"/>
      <name val="Tahoma"/>
      <family val="2"/>
    </font>
    <font>
      <sz val="11"/>
      <color indexed="63"/>
      <name val="Arial"/>
      <family val="2"/>
    </font>
    <font>
      <i/>
      <sz val="12"/>
      <name val="Times New Roman"/>
      <family val="1"/>
    </font>
    <font>
      <b/>
      <sz val="15"/>
      <name val="Times New Roman"/>
      <family val="1"/>
    </font>
    <font>
      <u val="single"/>
      <sz val="12"/>
      <color indexed="8"/>
      <name val="Times New Roman"/>
      <family val="1"/>
    </font>
    <font>
      <u val="single"/>
      <sz val="12"/>
      <name val="Times New Roman"/>
      <family val="1"/>
    </font>
    <font>
      <b/>
      <sz val="16"/>
      <name val="Times New Roman"/>
      <family val="1"/>
    </font>
    <font>
      <sz val="10"/>
      <color indexed="8"/>
      <name val="Times New Roman"/>
      <family val="0"/>
    </font>
    <font>
      <sz val="10"/>
      <color indexed="63"/>
      <name val="Times New Roman"/>
      <family val="0"/>
    </font>
    <font>
      <sz val="12"/>
      <color indexed="63"/>
      <name val="Times New Roman"/>
      <family val="0"/>
    </font>
    <font>
      <sz val="7.75"/>
      <color indexed="63"/>
      <name val="Times New Roman"/>
      <family val="0"/>
    </font>
    <font>
      <sz val="9.25"/>
      <color indexed="63"/>
      <name val="Times New Rom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sz val="10"/>
      <color indexed="8"/>
      <name val="Arial1"/>
      <family val="0"/>
    </font>
    <font>
      <sz val="18"/>
      <color indexed="54"/>
      <name val="Calibri Light"/>
      <family val="2"/>
    </font>
    <font>
      <b/>
      <sz val="11"/>
      <color indexed="8"/>
      <name val="Calibri"/>
      <family val="2"/>
    </font>
    <font>
      <sz val="11"/>
      <color indexed="10"/>
      <name val="Calibri"/>
      <family val="2"/>
    </font>
    <font>
      <sz val="10"/>
      <color indexed="10"/>
      <name val="Times New Roman"/>
      <family val="1"/>
    </font>
    <font>
      <sz val="10"/>
      <color indexed="8"/>
      <name val="Arial"/>
      <family val="2"/>
    </font>
    <font>
      <sz val="11"/>
      <name val="Calibri"/>
      <family val="2"/>
    </font>
    <font>
      <sz val="12"/>
      <color indexed="10"/>
      <name val="Times New Roman"/>
      <family val="1"/>
    </font>
    <font>
      <b/>
      <sz val="12"/>
      <color indexed="8"/>
      <name val="Times New Roman"/>
      <family val="1"/>
    </font>
    <font>
      <sz val="12"/>
      <color indexed="9"/>
      <name val="Times New Roman"/>
      <family val="1"/>
    </font>
    <font>
      <b/>
      <sz val="16"/>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sz val="11"/>
      <color theme="1"/>
      <name val="Arial"/>
      <family val="2"/>
    </font>
    <font>
      <b/>
      <sz val="11"/>
      <color rgb="FF3F3F3F"/>
      <name val="Calibri"/>
      <family val="2"/>
    </font>
    <font>
      <sz val="10"/>
      <color rgb="FF000000"/>
      <name val="Arial1"/>
      <family val="0"/>
    </font>
    <font>
      <sz val="18"/>
      <color theme="3"/>
      <name val="Calibri Light"/>
      <family val="2"/>
    </font>
    <font>
      <b/>
      <sz val="11"/>
      <color theme="1"/>
      <name val="Calibri"/>
      <family val="2"/>
    </font>
    <font>
      <sz val="11"/>
      <color rgb="FFFF0000"/>
      <name val="Calibri"/>
      <family val="2"/>
    </font>
    <font>
      <sz val="10"/>
      <color rgb="FFFF0000"/>
      <name val="Times New Roman"/>
      <family val="1"/>
    </font>
    <font>
      <sz val="10"/>
      <color theme="1"/>
      <name val="Arial"/>
      <family val="2"/>
    </font>
    <font>
      <sz val="12"/>
      <color theme="1"/>
      <name val="Times New Roman"/>
      <family val="1"/>
    </font>
    <font>
      <sz val="12"/>
      <color rgb="FFFF0000"/>
      <name val="Times New Roman"/>
      <family val="1"/>
    </font>
    <font>
      <sz val="12"/>
      <color rgb="FF000000"/>
      <name val="Times New Roman"/>
      <family val="1"/>
    </font>
    <font>
      <b/>
      <sz val="12"/>
      <color theme="1"/>
      <name val="Times New Roman"/>
      <family val="1"/>
    </font>
    <font>
      <sz val="12"/>
      <color theme="0"/>
      <name val="Times New Roman"/>
      <family val="1"/>
    </font>
    <font>
      <b/>
      <sz val="16"/>
      <color theme="1"/>
      <name val="Times New Roman"/>
      <family val="1"/>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medium"/>
      <right/>
      <top style="medium"/>
      <bottom/>
    </border>
    <border>
      <left style="medium"/>
      <right style="medium"/>
      <top/>
      <bottom/>
    </border>
    <border>
      <left/>
      <right style="thin"/>
      <top/>
      <bottom/>
    </border>
    <border>
      <left style="thin"/>
      <right style="thin"/>
      <top/>
      <bottom/>
    </border>
    <border>
      <left style="medium"/>
      <right/>
      <top/>
      <bottom/>
    </border>
    <border>
      <left style="medium"/>
      <right style="thin"/>
      <top style="thin"/>
      <bottom style="medium"/>
    </border>
    <border>
      <left style="thin"/>
      <right style="thin"/>
      <top style="thin"/>
      <bottom style="medium"/>
    </border>
    <border>
      <left/>
      <right/>
      <top style="medium"/>
      <bottom style="thin"/>
    </border>
    <border>
      <left/>
      <right style="medium"/>
      <top style="medium"/>
      <bottom style="thin"/>
    </border>
    <border>
      <left style="medium"/>
      <right style="thin"/>
      <top style="thin"/>
      <bottom style="thin"/>
    </border>
    <border>
      <left style="thin"/>
      <right style="medium"/>
      <top style="thin"/>
      <bottom style="thin"/>
    </border>
    <border>
      <left style="medium"/>
      <right/>
      <top/>
      <bottom style="medium"/>
    </border>
    <border>
      <left/>
      <right/>
      <top/>
      <bottom style="medium"/>
    </border>
    <border>
      <left/>
      <right style="medium"/>
      <top/>
      <bottom style="medium"/>
    </border>
    <border>
      <left/>
      <right/>
      <top style="medium"/>
      <bottom/>
    </border>
    <border>
      <left style="medium"/>
      <right style="thin"/>
      <top style="medium"/>
      <bottom style="thin"/>
    </border>
    <border>
      <left style="medium"/>
      <right style="medium"/>
      <top style="medium"/>
      <bottom style="medium"/>
    </border>
    <border>
      <left/>
      <right style="thin"/>
      <top style="thin"/>
      <bottom style="thin"/>
    </border>
    <border>
      <left/>
      <right style="medium"/>
      <top style="medium"/>
      <bottom/>
    </border>
    <border>
      <left style="thin"/>
      <right style="medium"/>
      <top style="medium"/>
      <bottom style="thin"/>
    </border>
    <border>
      <left style="medium"/>
      <right style="thin"/>
      <top style="thin"/>
      <bottom/>
    </border>
    <border>
      <left style="thin"/>
      <right style="thin"/>
      <top style="thin"/>
      <bottom/>
    </border>
    <border>
      <left style="thin"/>
      <right style="thin"/>
      <top/>
      <bottom style="medium"/>
    </border>
    <border>
      <left style="thin"/>
      <right style="thin"/>
      <top style="medium"/>
      <bottom style="thin"/>
    </border>
    <border>
      <left style="thin"/>
      <right/>
      <top style="thin"/>
      <bottom/>
    </border>
    <border>
      <left/>
      <right/>
      <top style="thin"/>
      <bottom style="thin"/>
    </border>
    <border>
      <left style="thin"/>
      <right/>
      <top style="medium"/>
      <bottom style="thin"/>
    </border>
    <border>
      <left style="thin"/>
      <right style="medium"/>
      <top style="thin"/>
      <bottom style="medium"/>
    </border>
    <border>
      <left style="thin"/>
      <right style="medium"/>
      <top/>
      <bottom style="medium"/>
    </border>
    <border>
      <left style="thin"/>
      <right/>
      <top style="thin"/>
      <bottom style="medium"/>
    </border>
    <border>
      <left style="medium"/>
      <right style="thin"/>
      <top>
        <color indexed="63"/>
      </top>
      <bottom style="thin"/>
    </border>
    <border>
      <left style="thin"/>
      <right style="thin"/>
      <top/>
      <bottom style="thin"/>
    </border>
    <border>
      <left style="thin"/>
      <right/>
      <top/>
      <bottom style="thin"/>
    </border>
    <border>
      <left style="thin"/>
      <right style="medium"/>
      <top/>
      <bottom style="thin"/>
    </border>
    <border>
      <left style="medium"/>
      <right style="thin"/>
      <top/>
      <bottom style="medium"/>
    </border>
    <border>
      <left style="thin"/>
      <right style="medium"/>
      <top style="thin"/>
      <bottom/>
    </border>
    <border>
      <left style="thin"/>
      <right style="thin"/>
      <top style="medium"/>
      <bottom/>
    </border>
    <border>
      <left/>
      <right/>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4" fontId="1" fillId="0" borderId="0" applyBorder="0" applyProtection="0">
      <alignment/>
    </xf>
    <xf numFmtId="41" fontId="0" fillId="0" borderId="0" applyFont="0" applyFill="0" applyBorder="0" applyAlignment="0" applyProtection="0"/>
    <xf numFmtId="43" fontId="4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10" fillId="0" borderId="0">
      <alignment/>
      <protection/>
    </xf>
    <xf numFmtId="0" fontId="63" fillId="0" borderId="0">
      <alignment/>
      <protection/>
    </xf>
    <xf numFmtId="0" fontId="64"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5" fillId="27" borderId="8" applyNumberFormat="0" applyAlignment="0" applyProtection="0"/>
    <xf numFmtId="9" fontId="1" fillId="0" borderId="0" applyBorder="0" applyProtection="0">
      <alignment/>
    </xf>
    <xf numFmtId="9" fontId="48" fillId="0" borderId="0" applyFont="0" applyFill="0" applyBorder="0" applyAlignment="0" applyProtection="0"/>
    <xf numFmtId="0" fontId="66" fillId="0" borderId="0" applyBorder="0" applyProtection="0">
      <alignment/>
    </xf>
    <xf numFmtId="0" fontId="66" fillId="0" borderId="0" applyBorder="0" applyProtection="0">
      <alignment/>
    </xf>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485">
    <xf numFmtId="0" fontId="0" fillId="0" borderId="0" xfId="0" applyAlignment="1">
      <alignment/>
    </xf>
    <xf numFmtId="0" fontId="2" fillId="33" borderId="0" xfId="0" applyFont="1" applyFill="1" applyAlignment="1">
      <alignment/>
    </xf>
    <xf numFmtId="0" fontId="8" fillId="33" borderId="0" xfId="0" applyFont="1" applyFill="1" applyAlignment="1">
      <alignment/>
    </xf>
    <xf numFmtId="3" fontId="8" fillId="33" borderId="0" xfId="0" applyNumberFormat="1" applyFont="1" applyFill="1" applyAlignment="1">
      <alignment/>
    </xf>
    <xf numFmtId="4" fontId="8" fillId="33" borderId="10" xfId="0" applyNumberFormat="1" applyFont="1" applyFill="1" applyBorder="1" applyAlignment="1">
      <alignment/>
    </xf>
    <xf numFmtId="4" fontId="7" fillId="33" borderId="10" xfId="0" applyNumberFormat="1" applyFont="1" applyFill="1" applyBorder="1" applyAlignment="1">
      <alignment/>
    </xf>
    <xf numFmtId="4" fontId="7" fillId="33" borderId="0" xfId="0" applyNumberFormat="1" applyFont="1" applyFill="1" applyAlignment="1">
      <alignment/>
    </xf>
    <xf numFmtId="4" fontId="7" fillId="33" borderId="10" xfId="0" applyNumberFormat="1" applyFont="1" applyFill="1" applyBorder="1" applyAlignment="1">
      <alignment horizontal="center"/>
    </xf>
    <xf numFmtId="4" fontId="8" fillId="33" borderId="0" xfId="0" applyNumberFormat="1" applyFont="1" applyFill="1" applyAlignment="1">
      <alignment/>
    </xf>
    <xf numFmtId="3" fontId="8" fillId="33" borderId="0" xfId="0" applyNumberFormat="1" applyFont="1" applyFill="1" applyBorder="1" applyAlignment="1">
      <alignment/>
    </xf>
    <xf numFmtId="4" fontId="8" fillId="33" borderId="0" xfId="0" applyNumberFormat="1" applyFont="1" applyFill="1" applyBorder="1" applyAlignment="1">
      <alignment/>
    </xf>
    <xf numFmtId="0" fontId="5" fillId="33" borderId="0" xfId="0" applyFont="1" applyFill="1" applyAlignment="1">
      <alignment horizontal="center" vertical="center" wrapText="1"/>
    </xf>
    <xf numFmtId="0" fontId="5" fillId="33" borderId="0" xfId="0" applyFont="1" applyFill="1" applyAlignment="1">
      <alignment/>
    </xf>
    <xf numFmtId="0" fontId="5" fillId="33" borderId="0" xfId="0" applyFont="1" applyFill="1" applyAlignment="1">
      <alignment horizontal="center"/>
    </xf>
    <xf numFmtId="0" fontId="2" fillId="33" borderId="10" xfId="0" applyFont="1" applyFill="1" applyBorder="1" applyAlignment="1">
      <alignment/>
    </xf>
    <xf numFmtId="0" fontId="5" fillId="33" borderId="10" xfId="0" applyFont="1" applyFill="1" applyBorder="1" applyAlignment="1">
      <alignment/>
    </xf>
    <xf numFmtId="4" fontId="8" fillId="33" borderId="10" xfId="0" applyNumberFormat="1" applyFont="1" applyFill="1" applyBorder="1" applyAlignment="1">
      <alignment wrapText="1"/>
    </xf>
    <xf numFmtId="0" fontId="7" fillId="33" borderId="10" xfId="0" applyFont="1" applyFill="1" applyBorder="1" applyAlignment="1">
      <alignment/>
    </xf>
    <xf numFmtId="0" fontId="2" fillId="33" borderId="0" xfId="0" applyFont="1" applyFill="1" applyAlignment="1">
      <alignment horizontal="left" vertical="center" wrapText="1"/>
    </xf>
    <xf numFmtId="49" fontId="8" fillId="33" borderId="0" xfId="0" applyNumberFormat="1" applyFont="1" applyFill="1" applyAlignment="1">
      <alignment wrapText="1"/>
    </xf>
    <xf numFmtId="49" fontId="8" fillId="33" borderId="0" xfId="0" applyNumberFormat="1" applyFont="1" applyFill="1" applyBorder="1" applyAlignment="1">
      <alignment wrapText="1"/>
    </xf>
    <xf numFmtId="3" fontId="8" fillId="33" borderId="0" xfId="0" applyNumberFormat="1" applyFont="1" applyFill="1" applyBorder="1" applyAlignment="1">
      <alignment wrapText="1"/>
    </xf>
    <xf numFmtId="4" fontId="8" fillId="33" borderId="0" xfId="0" applyNumberFormat="1" applyFont="1" applyFill="1" applyBorder="1" applyAlignment="1">
      <alignment wrapText="1"/>
    </xf>
    <xf numFmtId="0" fontId="7" fillId="33" borderId="10" xfId="0" applyFont="1" applyFill="1" applyBorder="1" applyAlignment="1">
      <alignment horizontal="center"/>
    </xf>
    <xf numFmtId="0" fontId="8" fillId="33" borderId="10" xfId="0" applyFont="1" applyFill="1" applyBorder="1" applyAlignment="1">
      <alignment/>
    </xf>
    <xf numFmtId="4" fontId="8" fillId="33" borderId="10" xfId="0" applyNumberFormat="1" applyFont="1" applyFill="1" applyBorder="1" applyAlignment="1">
      <alignment horizontal="center"/>
    </xf>
    <xf numFmtId="2" fontId="8" fillId="33" borderId="0" xfId="0" applyNumberFormat="1" applyFont="1" applyFill="1" applyAlignment="1">
      <alignment/>
    </xf>
    <xf numFmtId="0" fontId="70" fillId="33" borderId="0" xfId="0" applyFont="1" applyFill="1" applyAlignment="1">
      <alignment/>
    </xf>
    <xf numFmtId="49" fontId="2" fillId="33" borderId="0" xfId="0" applyNumberFormat="1" applyFont="1" applyFill="1" applyAlignment="1">
      <alignment horizontal="left" vertical="center" wrapText="1"/>
    </xf>
    <xf numFmtId="175" fontId="2" fillId="33" borderId="10" xfId="0" applyNumberFormat="1" applyFont="1" applyFill="1" applyBorder="1" applyAlignment="1">
      <alignment horizontal="center" vertical="center" wrapText="1"/>
    </xf>
    <xf numFmtId="0" fontId="2" fillId="33" borderId="0" xfId="0" applyFont="1" applyFill="1" applyAlignment="1">
      <alignment horizontal="center" vertical="center"/>
    </xf>
    <xf numFmtId="0" fontId="2" fillId="33" borderId="10" xfId="0" applyFont="1" applyFill="1" applyBorder="1" applyAlignment="1">
      <alignment horizontal="center" vertical="center" wrapText="1"/>
    </xf>
    <xf numFmtId="0" fontId="2" fillId="33" borderId="0" xfId="0" applyFont="1" applyFill="1" applyAlignment="1">
      <alignment/>
    </xf>
    <xf numFmtId="0" fontId="2" fillId="33" borderId="0" xfId="0" applyFont="1" applyFill="1" applyAlignment="1">
      <alignment horizontal="center"/>
    </xf>
    <xf numFmtId="1" fontId="2" fillId="33" borderId="0" xfId="0" applyNumberFormat="1" applyFont="1" applyFill="1" applyAlignment="1">
      <alignment horizontal="center"/>
    </xf>
    <xf numFmtId="49" fontId="2" fillId="33" borderId="0" xfId="0" applyNumberFormat="1" applyFont="1" applyFill="1" applyAlignment="1">
      <alignment wrapText="1"/>
    </xf>
    <xf numFmtId="0" fontId="5" fillId="33" borderId="0" xfId="0" applyFont="1" applyFill="1" applyBorder="1" applyAlignment="1">
      <alignment horizontal="left"/>
    </xf>
    <xf numFmtId="3" fontId="5" fillId="33" borderId="11" xfId="0" applyNumberFormat="1" applyFont="1" applyFill="1" applyBorder="1" applyAlignment="1">
      <alignment horizontal="center" vertical="center" wrapText="1"/>
    </xf>
    <xf numFmtId="3" fontId="2" fillId="33" borderId="10" xfId="0" applyNumberFormat="1" applyFont="1" applyFill="1" applyBorder="1" applyAlignment="1">
      <alignment horizontal="center" vertical="center"/>
    </xf>
    <xf numFmtId="49" fontId="2" fillId="33" borderId="10" xfId="0" applyNumberFormat="1" applyFont="1" applyFill="1" applyBorder="1" applyAlignment="1">
      <alignment horizontal="left" vertical="center" wrapText="1"/>
    </xf>
    <xf numFmtId="0" fontId="5" fillId="33" borderId="0" xfId="0" applyFont="1" applyFill="1" applyAlignment="1">
      <alignment horizontal="center" vertical="center"/>
    </xf>
    <xf numFmtId="4" fontId="5" fillId="33" borderId="0" xfId="0" applyNumberFormat="1" applyFont="1" applyFill="1" applyAlignment="1">
      <alignment horizontal="center" vertical="center"/>
    </xf>
    <xf numFmtId="49" fontId="2" fillId="33" borderId="0" xfId="0" applyNumberFormat="1" applyFont="1" applyFill="1" applyAlignment="1">
      <alignment horizontal="center" vertical="center" wrapText="1"/>
    </xf>
    <xf numFmtId="4" fontId="2" fillId="33" borderId="0" xfId="0" applyNumberFormat="1" applyFont="1" applyFill="1" applyBorder="1" applyAlignment="1">
      <alignment horizontal="center" vertical="center"/>
    </xf>
    <xf numFmtId="49" fontId="5" fillId="33" borderId="0" xfId="0" applyNumberFormat="1" applyFont="1" applyFill="1" applyBorder="1" applyAlignment="1">
      <alignment horizontal="right" vertical="center" wrapText="1"/>
    </xf>
    <xf numFmtId="4" fontId="2" fillId="33" borderId="0" xfId="0" applyNumberFormat="1" applyFont="1" applyFill="1" applyAlignment="1">
      <alignment/>
    </xf>
    <xf numFmtId="4" fontId="2" fillId="33" borderId="0" xfId="0" applyNumberFormat="1" applyFont="1" applyFill="1" applyAlignment="1">
      <alignment horizontal="center"/>
    </xf>
    <xf numFmtId="0" fontId="2" fillId="33" borderId="0" xfId="0" applyFont="1" applyFill="1" applyBorder="1" applyAlignment="1">
      <alignment/>
    </xf>
    <xf numFmtId="0" fontId="2" fillId="33" borderId="0" xfId="0" applyFont="1" applyFill="1" applyBorder="1" applyAlignment="1">
      <alignment horizontal="center"/>
    </xf>
    <xf numFmtId="4" fontId="2" fillId="33" borderId="0" xfId="0" applyNumberFormat="1" applyFont="1" applyFill="1" applyBorder="1" applyAlignment="1">
      <alignment/>
    </xf>
    <xf numFmtId="0" fontId="2" fillId="33" borderId="12" xfId="0" applyFont="1" applyFill="1" applyBorder="1" applyAlignment="1">
      <alignment horizontal="center"/>
    </xf>
    <xf numFmtId="49" fontId="5" fillId="33" borderId="0" xfId="0" applyNumberFormat="1" applyFont="1" applyFill="1" applyBorder="1" applyAlignment="1">
      <alignment horizontal="left" vertical="center" wrapText="1"/>
    </xf>
    <xf numFmtId="0" fontId="6" fillId="33" borderId="0" xfId="0" applyFont="1" applyFill="1" applyBorder="1" applyAlignment="1">
      <alignment/>
    </xf>
    <xf numFmtId="0" fontId="5" fillId="33" borderId="13" xfId="0" applyFont="1" applyFill="1" applyBorder="1" applyAlignment="1">
      <alignment horizontal="center"/>
    </xf>
    <xf numFmtId="4" fontId="5" fillId="33" borderId="14" xfId="0" applyNumberFormat="1" applyFont="1" applyFill="1" applyBorder="1" applyAlignment="1">
      <alignment horizontal="center" vertical="center"/>
    </xf>
    <xf numFmtId="4" fontId="5" fillId="33" borderId="15" xfId="0" applyNumberFormat="1" applyFont="1" applyFill="1" applyBorder="1" applyAlignment="1">
      <alignment horizontal="center" vertical="center"/>
    </xf>
    <xf numFmtId="0" fontId="5" fillId="33" borderId="16" xfId="0" applyFont="1" applyFill="1" applyBorder="1" applyAlignment="1">
      <alignment horizontal="center"/>
    </xf>
    <xf numFmtId="4" fontId="5" fillId="33" borderId="17" xfId="0" applyNumberFormat="1" applyFont="1" applyFill="1" applyBorder="1" applyAlignment="1">
      <alignment horizontal="center" vertical="center"/>
    </xf>
    <xf numFmtId="4" fontId="5" fillId="33" borderId="18" xfId="0" applyNumberFormat="1" applyFont="1" applyFill="1" applyBorder="1" applyAlignment="1">
      <alignment horizontal="center" vertical="center"/>
    </xf>
    <xf numFmtId="4" fontId="5" fillId="33" borderId="0" xfId="0" applyNumberFormat="1" applyFont="1" applyFill="1" applyBorder="1" applyAlignment="1">
      <alignment horizontal="center" vertical="center" wrapText="1"/>
    </xf>
    <xf numFmtId="4" fontId="2" fillId="33" borderId="10" xfId="0" applyNumberFormat="1" applyFont="1" applyFill="1" applyBorder="1" applyAlignment="1">
      <alignment horizontal="left" wrapText="1"/>
    </xf>
    <xf numFmtId="49" fontId="5" fillId="33" borderId="19" xfId="0" applyNumberFormat="1" applyFont="1" applyFill="1" applyBorder="1" applyAlignment="1">
      <alignment horizontal="center" wrapText="1"/>
    </xf>
    <xf numFmtId="49" fontId="5" fillId="33" borderId="20" xfId="0" applyNumberFormat="1" applyFont="1" applyFill="1" applyBorder="1" applyAlignment="1">
      <alignment horizontal="center" wrapText="1"/>
    </xf>
    <xf numFmtId="0" fontId="2" fillId="33" borderId="0" xfId="0" applyFont="1" applyFill="1" applyBorder="1" applyAlignment="1">
      <alignment/>
    </xf>
    <xf numFmtId="10" fontId="6" fillId="33" borderId="10" xfId="75" applyNumberFormat="1" applyFont="1" applyFill="1" applyBorder="1">
      <alignment/>
    </xf>
    <xf numFmtId="1" fontId="2" fillId="33" borderId="10" xfId="0" applyNumberFormat="1" applyFont="1" applyFill="1" applyBorder="1" applyAlignment="1">
      <alignment/>
    </xf>
    <xf numFmtId="0" fontId="2" fillId="33" borderId="21" xfId="0" applyFont="1" applyFill="1" applyBorder="1" applyAlignment="1">
      <alignment horizontal="center" vertical="center" wrapText="1"/>
    </xf>
    <xf numFmtId="4" fontId="2" fillId="33" borderId="10" xfId="0" applyNumberFormat="1" applyFont="1" applyFill="1" applyBorder="1" applyAlignment="1">
      <alignment/>
    </xf>
    <xf numFmtId="4" fontId="2" fillId="33" borderId="22" xfId="0" applyNumberFormat="1" applyFont="1" applyFill="1" applyBorder="1" applyAlignment="1">
      <alignment/>
    </xf>
    <xf numFmtId="4" fontId="2" fillId="33" borderId="10" xfId="0" applyNumberFormat="1" applyFont="1" applyFill="1" applyBorder="1" applyAlignment="1">
      <alignment horizontal="left"/>
    </xf>
    <xf numFmtId="175" fontId="2" fillId="33" borderId="21" xfId="0" applyNumberFormat="1" applyFont="1" applyFill="1" applyBorder="1" applyAlignment="1">
      <alignment horizontal="center" vertical="center" wrapText="1"/>
    </xf>
    <xf numFmtId="10" fontId="2" fillId="33" borderId="0" xfId="0" applyNumberFormat="1" applyFont="1" applyFill="1" applyBorder="1" applyAlignment="1">
      <alignment horizontal="center"/>
    </xf>
    <xf numFmtId="0" fontId="2" fillId="33" borderId="23" xfId="0" applyFont="1" applyFill="1" applyBorder="1" applyAlignment="1">
      <alignment horizontal="center"/>
    </xf>
    <xf numFmtId="4" fontId="5" fillId="33" borderId="24" xfId="0" applyNumberFormat="1" applyFont="1" applyFill="1" applyBorder="1" applyAlignment="1">
      <alignment horizontal="center"/>
    </xf>
    <xf numFmtId="4" fontId="5" fillId="33" borderId="25" xfId="0" applyNumberFormat="1" applyFont="1" applyFill="1" applyBorder="1" applyAlignment="1">
      <alignment horizontal="center"/>
    </xf>
    <xf numFmtId="4" fontId="11" fillId="33" borderId="0" xfId="0" applyNumberFormat="1" applyFont="1" applyFill="1" applyAlignment="1">
      <alignment horizontal="center"/>
    </xf>
    <xf numFmtId="0" fontId="11" fillId="33" borderId="0" xfId="0" applyFont="1" applyFill="1" applyAlignment="1">
      <alignment horizontal="center"/>
    </xf>
    <xf numFmtId="0" fontId="5" fillId="33" borderId="12" xfId="0" applyFont="1" applyFill="1" applyBorder="1" applyAlignment="1">
      <alignment horizontal="center"/>
    </xf>
    <xf numFmtId="0" fontId="5" fillId="33" borderId="26" xfId="0" applyFont="1" applyFill="1" applyBorder="1" applyAlignment="1">
      <alignment horizontal="center"/>
    </xf>
    <xf numFmtId="0" fontId="2" fillId="33" borderId="27" xfId="0" applyFont="1" applyFill="1" applyBorder="1" applyAlignment="1">
      <alignment horizontal="center" vertical="center" wrapText="1"/>
    </xf>
    <xf numFmtId="4" fontId="5" fillId="33" borderId="10" xfId="0" applyNumberFormat="1" applyFont="1" applyFill="1" applyBorder="1" applyAlignment="1">
      <alignment/>
    </xf>
    <xf numFmtId="10" fontId="5" fillId="33" borderId="10" xfId="0" applyNumberFormat="1" applyFont="1" applyFill="1" applyBorder="1" applyAlignment="1">
      <alignment horizontal="center"/>
    </xf>
    <xf numFmtId="0" fontId="2" fillId="33" borderId="17" xfId="0" applyFont="1" applyFill="1" applyBorder="1" applyAlignment="1">
      <alignment horizontal="center" vertical="center" wrapText="1"/>
    </xf>
    <xf numFmtId="4" fontId="2" fillId="33" borderId="18" xfId="0" applyNumberFormat="1" applyFont="1" applyFill="1" applyBorder="1" applyAlignment="1">
      <alignment/>
    </xf>
    <xf numFmtId="4" fontId="5" fillId="33" borderId="0" xfId="0" applyNumberFormat="1" applyFont="1" applyFill="1" applyAlignment="1">
      <alignment horizontal="center" vertical="center" wrapText="1"/>
    </xf>
    <xf numFmtId="4" fontId="5" fillId="33" borderId="0" xfId="0" applyNumberFormat="1" applyFont="1" applyFill="1" applyBorder="1" applyAlignment="1">
      <alignment/>
    </xf>
    <xf numFmtId="4" fontId="5" fillId="33" borderId="0" xfId="0" applyNumberFormat="1" applyFont="1" applyFill="1" applyBorder="1" applyAlignment="1">
      <alignment horizontal="center"/>
    </xf>
    <xf numFmtId="0" fontId="2" fillId="33" borderId="10" xfId="0" applyFont="1" applyFill="1" applyBorder="1" applyAlignment="1">
      <alignment/>
    </xf>
    <xf numFmtId="10" fontId="5" fillId="33" borderId="0" xfId="0" applyNumberFormat="1" applyFont="1" applyFill="1" applyAlignment="1">
      <alignment horizontal="center"/>
    </xf>
    <xf numFmtId="49" fontId="5" fillId="33" borderId="0" xfId="0" applyNumberFormat="1" applyFont="1" applyFill="1" applyAlignment="1">
      <alignment horizontal="right" vertical="center" wrapText="1"/>
    </xf>
    <xf numFmtId="0" fontId="5" fillId="33" borderId="0" xfId="0" applyFont="1" applyFill="1" applyAlignment="1">
      <alignment horizontal="center"/>
    </xf>
    <xf numFmtId="0" fontId="6" fillId="33" borderId="0" xfId="0" applyFont="1" applyFill="1" applyAlignment="1">
      <alignment/>
    </xf>
    <xf numFmtId="4" fontId="5" fillId="33" borderId="0" xfId="0" applyNumberFormat="1" applyFont="1" applyFill="1" applyAlignment="1">
      <alignment/>
    </xf>
    <xf numFmtId="4" fontId="2" fillId="33" borderId="0" xfId="0" applyNumberFormat="1" applyFont="1" applyFill="1" applyBorder="1" applyAlignment="1">
      <alignment horizontal="right" vertical="center" wrapText="1"/>
    </xf>
    <xf numFmtId="0" fontId="5" fillId="33" borderId="0" xfId="0" applyFont="1" applyFill="1" applyAlignment="1">
      <alignment/>
    </xf>
    <xf numFmtId="10" fontId="5" fillId="33" borderId="10" xfId="0" applyNumberFormat="1" applyFont="1" applyFill="1" applyBorder="1" applyAlignment="1">
      <alignment/>
    </xf>
    <xf numFmtId="10" fontId="5" fillId="33" borderId="11" xfId="0" applyNumberFormat="1" applyFont="1" applyFill="1" applyBorder="1" applyAlignment="1">
      <alignment/>
    </xf>
    <xf numFmtId="10" fontId="5" fillId="33" borderId="11" xfId="0" applyNumberFormat="1" applyFont="1" applyFill="1" applyBorder="1" applyAlignment="1">
      <alignment horizontal="center"/>
    </xf>
    <xf numFmtId="10" fontId="5" fillId="33" borderId="28" xfId="0" applyNumberFormat="1" applyFont="1" applyFill="1" applyBorder="1" applyAlignment="1">
      <alignment horizontal="center"/>
    </xf>
    <xf numFmtId="4" fontId="6" fillId="33" borderId="0" xfId="0" applyNumberFormat="1" applyFont="1" applyFill="1" applyAlignment="1">
      <alignment/>
    </xf>
    <xf numFmtId="3" fontId="2" fillId="33" borderId="0" xfId="0" applyNumberFormat="1" applyFont="1" applyFill="1" applyAlignment="1">
      <alignment horizontal="center" vertical="center"/>
    </xf>
    <xf numFmtId="10" fontId="2" fillId="33" borderId="0" xfId="0" applyNumberFormat="1" applyFont="1" applyFill="1" applyAlignment="1">
      <alignment horizontal="center" vertical="center"/>
    </xf>
    <xf numFmtId="3" fontId="2" fillId="33" borderId="10" xfId="0" applyNumberFormat="1" applyFont="1" applyFill="1" applyBorder="1" applyAlignment="1">
      <alignment horizontal="center" vertical="center" wrapText="1"/>
    </xf>
    <xf numFmtId="3" fontId="2" fillId="33" borderId="0" xfId="0" applyNumberFormat="1" applyFont="1" applyFill="1" applyAlignment="1">
      <alignment wrapText="1"/>
    </xf>
    <xf numFmtId="49" fontId="2" fillId="33" borderId="10" xfId="0" applyNumberFormat="1" applyFont="1" applyFill="1" applyBorder="1" applyAlignment="1">
      <alignment horizontal="center" vertical="center"/>
    </xf>
    <xf numFmtId="0" fontId="2" fillId="33" borderId="10" xfId="0" applyFont="1" applyFill="1" applyBorder="1" applyAlignment="1">
      <alignment horizontal="center" vertical="center"/>
    </xf>
    <xf numFmtId="49" fontId="2" fillId="33" borderId="10" xfId="0" applyNumberFormat="1" applyFont="1" applyFill="1" applyBorder="1" applyAlignment="1">
      <alignment horizontal="left" vertical="center"/>
    </xf>
    <xf numFmtId="49" fontId="2" fillId="33" borderId="10" xfId="0" applyNumberFormat="1" applyFont="1" applyFill="1" applyBorder="1" applyAlignment="1">
      <alignment horizontal="left" vertical="center" wrapText="1"/>
    </xf>
    <xf numFmtId="0" fontId="5" fillId="33" borderId="27" xfId="0" applyFont="1" applyFill="1" applyBorder="1" applyAlignment="1">
      <alignment horizontal="center" vertical="center" wrapText="1"/>
    </xf>
    <xf numFmtId="0" fontId="5" fillId="33" borderId="21" xfId="0" applyFont="1" applyFill="1" applyBorder="1" applyAlignment="1">
      <alignment horizontal="center" vertical="center" wrapText="1"/>
    </xf>
    <xf numFmtId="175" fontId="5" fillId="33" borderId="21" xfId="0" applyNumberFormat="1"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0" xfId="0" applyFont="1" applyFill="1" applyBorder="1" applyAlignment="1">
      <alignment horizontal="right" vertical="center" wrapText="1"/>
    </xf>
    <xf numFmtId="175" fontId="5" fillId="33" borderId="0" xfId="0" applyNumberFormat="1" applyFont="1" applyFill="1" applyBorder="1" applyAlignment="1">
      <alignment horizontal="right" vertical="center" wrapText="1"/>
    </xf>
    <xf numFmtId="1" fontId="2" fillId="33" borderId="0" xfId="0" applyNumberFormat="1" applyFont="1" applyFill="1" applyBorder="1" applyAlignment="1">
      <alignment horizontal="center"/>
    </xf>
    <xf numFmtId="4" fontId="5" fillId="33" borderId="29" xfId="0" applyNumberFormat="1" applyFont="1" applyFill="1" applyBorder="1" applyAlignment="1">
      <alignment/>
    </xf>
    <xf numFmtId="0" fontId="2" fillId="33" borderId="30" xfId="0" applyFont="1" applyFill="1" applyBorder="1" applyAlignment="1">
      <alignment horizontal="center"/>
    </xf>
    <xf numFmtId="4" fontId="2" fillId="33" borderId="10" xfId="0" applyNumberFormat="1" applyFont="1" applyFill="1" applyBorder="1" applyAlignment="1">
      <alignment/>
    </xf>
    <xf numFmtId="4" fontId="2" fillId="33" borderId="18" xfId="0" applyNumberFormat="1" applyFont="1" applyFill="1" applyBorder="1" applyAlignment="1">
      <alignment/>
    </xf>
    <xf numFmtId="4" fontId="2" fillId="33" borderId="0" xfId="0" applyNumberFormat="1" applyFont="1" applyFill="1" applyBorder="1" applyAlignment="1">
      <alignment/>
    </xf>
    <xf numFmtId="4" fontId="6" fillId="33" borderId="10" xfId="0" applyNumberFormat="1" applyFont="1" applyFill="1" applyBorder="1" applyAlignment="1">
      <alignment/>
    </xf>
    <xf numFmtId="4" fontId="2" fillId="33" borderId="10" xfId="0" applyNumberFormat="1" applyFont="1" applyFill="1" applyBorder="1" applyAlignment="1">
      <alignment horizontal="center" vertical="center" wrapText="1"/>
    </xf>
    <xf numFmtId="4" fontId="2" fillId="33" borderId="28" xfId="0" applyNumberFormat="1" applyFont="1" applyFill="1" applyBorder="1" applyAlignment="1">
      <alignment horizontal="center"/>
    </xf>
    <xf numFmtId="4" fontId="2" fillId="33" borderId="28" xfId="0" applyNumberFormat="1" applyFont="1" applyFill="1" applyBorder="1" applyAlignment="1">
      <alignment/>
    </xf>
    <xf numFmtId="4" fontId="2" fillId="33" borderId="10" xfId="0" applyNumberFormat="1" applyFont="1" applyFill="1" applyBorder="1" applyAlignment="1">
      <alignment horizontal="center"/>
    </xf>
    <xf numFmtId="4" fontId="2" fillId="33" borderId="0" xfId="0" applyNumberFormat="1" applyFont="1" applyFill="1" applyBorder="1" applyAlignment="1">
      <alignment horizontal="center"/>
    </xf>
    <xf numFmtId="1" fontId="2" fillId="33" borderId="0" xfId="0" applyNumberFormat="1" applyFont="1" applyFill="1" applyBorder="1" applyAlignment="1">
      <alignment/>
    </xf>
    <xf numFmtId="1" fontId="2" fillId="33" borderId="10" xfId="0" applyNumberFormat="1" applyFont="1" applyFill="1" applyBorder="1" applyAlignment="1">
      <alignment horizontal="center"/>
    </xf>
    <xf numFmtId="1" fontId="2" fillId="33" borderId="10" xfId="0" applyNumberFormat="1" applyFont="1" applyFill="1" applyBorder="1" applyAlignment="1">
      <alignment/>
    </xf>
    <xf numFmtId="1" fontId="2" fillId="33" borderId="0" xfId="0" applyNumberFormat="1" applyFont="1" applyFill="1" applyBorder="1" applyAlignment="1">
      <alignment/>
    </xf>
    <xf numFmtId="0" fontId="2" fillId="33" borderId="0" xfId="0" applyFont="1" applyFill="1" applyBorder="1" applyAlignment="1">
      <alignment horizontal="center"/>
    </xf>
    <xf numFmtId="4" fontId="2" fillId="33" borderId="31" xfId="0" applyNumberFormat="1" applyFont="1" applyFill="1" applyBorder="1" applyAlignment="1">
      <alignment horizontal="center"/>
    </xf>
    <xf numFmtId="0" fontId="2" fillId="33" borderId="0" xfId="0" applyFont="1" applyFill="1" applyAlignment="1">
      <alignment horizontal="center"/>
    </xf>
    <xf numFmtId="49" fontId="5" fillId="33" borderId="0" xfId="0" applyNumberFormat="1" applyFont="1" applyFill="1" applyBorder="1" applyAlignment="1">
      <alignment horizontal="center" vertical="center" wrapText="1"/>
    </xf>
    <xf numFmtId="0" fontId="2" fillId="33" borderId="32" xfId="0" applyFont="1" applyFill="1" applyBorder="1" applyAlignment="1">
      <alignment horizontal="center" vertical="center" wrapText="1"/>
    </xf>
    <xf numFmtId="4" fontId="2" fillId="33" borderId="33" xfId="0" applyNumberFormat="1" applyFont="1" applyFill="1" applyBorder="1" applyAlignment="1">
      <alignment/>
    </xf>
    <xf numFmtId="0" fontId="5" fillId="33" borderId="0" xfId="0" applyFont="1" applyFill="1" applyBorder="1" applyAlignment="1">
      <alignment/>
    </xf>
    <xf numFmtId="0" fontId="71" fillId="0" borderId="0" xfId="68" applyFont="1">
      <alignment/>
      <protection/>
    </xf>
    <xf numFmtId="0" fontId="72" fillId="33" borderId="21" xfId="0" applyFont="1" applyFill="1" applyBorder="1" applyAlignment="1">
      <alignment horizontal="center" vertical="center"/>
    </xf>
    <xf numFmtId="0" fontId="2" fillId="33" borderId="10" xfId="0" applyFont="1" applyFill="1" applyBorder="1" applyAlignment="1">
      <alignment horizontal="center" vertical="center"/>
    </xf>
    <xf numFmtId="1" fontId="2" fillId="33" borderId="10" xfId="0" applyNumberFormat="1" applyFont="1" applyFill="1" applyBorder="1" applyAlignment="1">
      <alignment horizontal="center" vertical="center"/>
    </xf>
    <xf numFmtId="4" fontId="2" fillId="33" borderId="10" xfId="0" applyNumberFormat="1" applyFont="1" applyFill="1" applyBorder="1" applyAlignment="1">
      <alignment horizontal="center" vertical="center"/>
    </xf>
    <xf numFmtId="3" fontId="2" fillId="33" borderId="10" xfId="0" applyNumberFormat="1" applyFont="1" applyFill="1" applyBorder="1" applyAlignment="1" applyProtection="1">
      <alignment horizontal="center" vertical="center"/>
      <protection locked="0"/>
    </xf>
    <xf numFmtId="1" fontId="2" fillId="33" borderId="10" xfId="0" applyNumberFormat="1" applyFont="1" applyFill="1" applyBorder="1" applyAlignment="1">
      <alignment horizontal="center" vertical="center" wrapText="1"/>
    </xf>
    <xf numFmtId="4" fontId="2" fillId="33" borderId="10" xfId="50" applyNumberFormat="1" applyFont="1" applyFill="1" applyBorder="1" applyAlignment="1">
      <alignment horizontal="center" vertical="center" wrapText="1"/>
      <protection/>
    </xf>
    <xf numFmtId="49" fontId="2" fillId="33" borderId="10" xfId="0" applyNumberFormat="1"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3" fontId="2" fillId="33" borderId="10" xfId="42" applyNumberFormat="1" applyFont="1" applyFill="1" applyBorder="1" applyAlignment="1" applyProtection="1">
      <alignment horizontal="center" vertical="center" wrapText="1"/>
      <protection/>
    </xf>
    <xf numFmtId="2" fontId="2" fillId="33" borderId="10" xfId="77" applyNumberFormat="1" applyFont="1" applyFill="1" applyBorder="1" applyAlignment="1">
      <alignment horizontal="center" vertical="center" wrapText="1"/>
    </xf>
    <xf numFmtId="1" fontId="2" fillId="33" borderId="10" xfId="77" applyNumberFormat="1" applyFont="1" applyFill="1" applyBorder="1" applyAlignment="1">
      <alignment horizontal="center" vertical="center" wrapText="1"/>
    </xf>
    <xf numFmtId="4" fontId="2" fillId="33" borderId="10" xfId="0" applyNumberFormat="1" applyFont="1" applyFill="1" applyBorder="1" applyAlignment="1">
      <alignment horizontal="center" vertical="center"/>
    </xf>
    <xf numFmtId="4" fontId="2" fillId="33" borderId="10" xfId="71" applyNumberFormat="1" applyFont="1" applyFill="1" applyBorder="1" applyAlignment="1">
      <alignment horizontal="center" vertical="center" wrapText="1"/>
      <protection/>
    </xf>
    <xf numFmtId="1" fontId="2" fillId="33" borderId="10" xfId="70" applyNumberFormat="1" applyFont="1" applyFill="1" applyBorder="1" applyAlignment="1">
      <alignment horizontal="center" vertical="center"/>
      <protection/>
    </xf>
    <xf numFmtId="0" fontId="2" fillId="33" borderId="10" xfId="70" applyFont="1" applyFill="1" applyBorder="1" applyAlignment="1">
      <alignment horizontal="center" vertical="center"/>
      <protection/>
    </xf>
    <xf numFmtId="1" fontId="2" fillId="33" borderId="10" xfId="71" applyNumberFormat="1" applyFont="1" applyFill="1" applyBorder="1" applyAlignment="1">
      <alignment horizontal="center" vertical="center" wrapText="1"/>
      <protection/>
    </xf>
    <xf numFmtId="1" fontId="2" fillId="33" borderId="10" xfId="70" applyNumberFormat="1" applyFont="1" applyFill="1" applyBorder="1" applyAlignment="1">
      <alignment horizontal="center" vertical="center" wrapText="1"/>
      <protection/>
    </xf>
    <xf numFmtId="4" fontId="2" fillId="33" borderId="10" xfId="70" applyNumberFormat="1" applyFont="1" applyFill="1" applyBorder="1" applyAlignment="1">
      <alignment horizontal="center" vertical="center" wrapText="1"/>
      <protection/>
    </xf>
    <xf numFmtId="0" fontId="71" fillId="33" borderId="0" xfId="68" applyFont="1" applyFill="1">
      <alignment/>
      <protection/>
    </xf>
    <xf numFmtId="0" fontId="5" fillId="33" borderId="34" xfId="0" applyFont="1" applyFill="1" applyBorder="1" applyAlignment="1">
      <alignment horizontal="center" vertical="center"/>
    </xf>
    <xf numFmtId="4" fontId="5" fillId="33" borderId="34" xfId="0" applyNumberFormat="1" applyFont="1" applyFill="1" applyBorder="1" applyAlignment="1">
      <alignment horizontal="center" vertical="center"/>
    </xf>
    <xf numFmtId="3" fontId="5" fillId="33" borderId="34" xfId="0" applyNumberFormat="1" applyFont="1" applyFill="1" applyBorder="1" applyAlignment="1">
      <alignment horizontal="center" vertical="center"/>
    </xf>
    <xf numFmtId="0" fontId="2" fillId="33" borderId="34" xfId="0" applyFont="1" applyFill="1" applyBorder="1" applyAlignment="1">
      <alignment horizontal="center" vertical="center"/>
    </xf>
    <xf numFmtId="49" fontId="2" fillId="33" borderId="34" xfId="0" applyNumberFormat="1" applyFont="1" applyFill="1" applyBorder="1" applyAlignment="1">
      <alignment horizontal="center" vertical="center" wrapText="1"/>
    </xf>
    <xf numFmtId="1" fontId="2" fillId="33" borderId="10" xfId="0" applyNumberFormat="1" applyFont="1" applyFill="1" applyBorder="1" applyAlignment="1" quotePrefix="1">
      <alignment horizontal="center" vertical="center" wrapText="1"/>
    </xf>
    <xf numFmtId="0" fontId="2" fillId="33" borderId="10" xfId="0" applyFont="1" applyFill="1" applyBorder="1" applyAlignment="1" quotePrefix="1">
      <alignment horizontal="center" vertical="center" wrapText="1"/>
    </xf>
    <xf numFmtId="49" fontId="2" fillId="33" borderId="0" xfId="0" applyNumberFormat="1" applyFont="1" applyFill="1" applyAlignment="1">
      <alignment horizontal="left" vertical="center" wrapText="1"/>
    </xf>
    <xf numFmtId="1" fontId="2" fillId="33" borderId="10" xfId="0" applyNumberFormat="1" applyFont="1" applyFill="1" applyBorder="1" applyAlignment="1" quotePrefix="1">
      <alignment horizontal="center" vertical="center"/>
    </xf>
    <xf numFmtId="0" fontId="2" fillId="33" borderId="10" xfId="0" applyFont="1" applyFill="1" applyBorder="1" applyAlignment="1">
      <alignment horizontal="left" vertical="center" wrapText="1"/>
    </xf>
    <xf numFmtId="0" fontId="5" fillId="0" borderId="0" xfId="0" applyFont="1" applyFill="1" applyAlignment="1">
      <alignment horizontal="center"/>
    </xf>
    <xf numFmtId="49" fontId="2" fillId="33" borderId="10" xfId="51" applyNumberFormat="1" applyFont="1" applyFill="1" applyBorder="1" applyAlignment="1">
      <alignment horizontal="left" vertical="center" wrapText="1"/>
      <protection/>
    </xf>
    <xf numFmtId="175" fontId="2" fillId="33" borderId="10" xfId="0" applyNumberFormat="1" applyFont="1" applyFill="1" applyBorder="1" applyAlignment="1" quotePrefix="1">
      <alignment horizontal="center" vertical="center" wrapText="1"/>
    </xf>
    <xf numFmtId="0" fontId="2" fillId="33" borderId="10" xfId="0" applyFont="1" applyFill="1" applyBorder="1" applyAlignment="1" quotePrefix="1">
      <alignment horizontal="left" vertical="center" wrapText="1"/>
    </xf>
    <xf numFmtId="0" fontId="2" fillId="33" borderId="10" xfId="77" applyFont="1" applyFill="1" applyBorder="1" applyAlignment="1">
      <alignment horizontal="left" vertical="center" wrapText="1"/>
    </xf>
    <xf numFmtId="0" fontId="2" fillId="33" borderId="10" xfId="77" applyFont="1" applyFill="1" applyBorder="1" applyAlignment="1">
      <alignment horizontal="center" vertical="center" wrapText="1"/>
    </xf>
    <xf numFmtId="1" fontId="2" fillId="33" borderId="10" xfId="77" applyNumberFormat="1" applyFont="1" applyFill="1" applyBorder="1" applyAlignment="1">
      <alignment horizontal="center" vertical="center"/>
    </xf>
    <xf numFmtId="2" fontId="2" fillId="33" borderId="10" xfId="77" applyNumberFormat="1" applyFont="1" applyFill="1" applyBorder="1" applyAlignment="1">
      <alignment horizontal="left" vertical="center" wrapText="1"/>
    </xf>
    <xf numFmtId="0" fontId="2" fillId="33" borderId="10" xfId="70" applyFont="1" applyFill="1" applyBorder="1" applyAlignment="1">
      <alignment horizontal="left" vertical="center" wrapText="1"/>
      <protection/>
    </xf>
    <xf numFmtId="0" fontId="2" fillId="33" borderId="10" xfId="77" applyNumberFormat="1" applyFont="1" applyFill="1" applyBorder="1" applyAlignment="1">
      <alignment horizontal="left" vertical="center" wrapText="1"/>
    </xf>
    <xf numFmtId="0" fontId="2" fillId="33" borderId="10" xfId="71" applyFont="1" applyFill="1" applyBorder="1" applyAlignment="1">
      <alignment vertical="center" wrapText="1"/>
      <protection/>
    </xf>
    <xf numFmtId="0" fontId="2" fillId="33" borderId="10" xfId="71" applyFont="1" applyFill="1" applyBorder="1" applyAlignment="1">
      <alignment horizontal="center" vertical="center" wrapText="1"/>
      <protection/>
    </xf>
    <xf numFmtId="1" fontId="72" fillId="33" borderId="10" xfId="71" applyNumberFormat="1" applyFont="1" applyFill="1" applyBorder="1" applyAlignment="1">
      <alignment horizontal="center" vertical="center" wrapText="1"/>
      <protection/>
    </xf>
    <xf numFmtId="0" fontId="2" fillId="33" borderId="10" xfId="0" applyNumberFormat="1" applyFont="1" applyFill="1" applyBorder="1" applyAlignment="1">
      <alignment vertical="center" wrapText="1"/>
    </xf>
    <xf numFmtId="0" fontId="2" fillId="33" borderId="10" xfId="0" applyNumberFormat="1" applyFont="1" applyFill="1" applyBorder="1" applyAlignment="1">
      <alignment horizontal="left" vertical="center" wrapText="1"/>
    </xf>
    <xf numFmtId="49" fontId="2" fillId="33" borderId="10" xfId="47" applyNumberFormat="1" applyFont="1" applyFill="1" applyBorder="1" applyAlignment="1">
      <alignment horizontal="left" vertical="center" wrapText="1"/>
      <protection/>
    </xf>
    <xf numFmtId="0" fontId="71" fillId="0" borderId="0" xfId="68" applyFont="1" applyFill="1">
      <alignment/>
      <protection/>
    </xf>
    <xf numFmtId="0" fontId="0" fillId="33" borderId="0" xfId="0" applyFont="1" applyFill="1" applyAlignment="1">
      <alignment/>
    </xf>
    <xf numFmtId="49" fontId="2" fillId="33" borderId="0" xfId="0" applyNumberFormat="1" applyFont="1" applyFill="1" applyAlignment="1">
      <alignment horizontal="left" vertical="center" wrapText="1"/>
    </xf>
    <xf numFmtId="49" fontId="2" fillId="33" borderId="0" xfId="0" applyNumberFormat="1"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0" xfId="65" applyFont="1" applyFill="1">
      <alignment/>
      <protection/>
    </xf>
    <xf numFmtId="0" fontId="2" fillId="0" borderId="0" xfId="0" applyFont="1" applyFill="1" applyAlignment="1">
      <alignment vertical="top"/>
    </xf>
    <xf numFmtId="0" fontId="2" fillId="0" borderId="0" xfId="0" applyFont="1" applyFill="1" applyAlignment="1">
      <alignment vertical="center"/>
    </xf>
    <xf numFmtId="0" fontId="2" fillId="0" borderId="0" xfId="0" applyFont="1" applyFill="1" applyAlignment="1">
      <alignment wrapText="1"/>
    </xf>
    <xf numFmtId="0" fontId="14" fillId="33" borderId="0" xfId="65" applyFont="1" applyFill="1">
      <alignment/>
      <protection/>
    </xf>
    <xf numFmtId="0" fontId="2" fillId="33" borderId="0" xfId="0" applyFont="1" applyFill="1" applyAlignment="1">
      <alignment horizontal="left" vertical="top"/>
    </xf>
    <xf numFmtId="0" fontId="2" fillId="33" borderId="0" xfId="0" applyFont="1" applyFill="1" applyAlignment="1">
      <alignment vertical="top"/>
    </xf>
    <xf numFmtId="0" fontId="2" fillId="33" borderId="0" xfId="0" applyFont="1" applyFill="1" applyAlignment="1">
      <alignment horizontal="center" vertical="top"/>
    </xf>
    <xf numFmtId="0" fontId="72" fillId="33" borderId="17" xfId="0" applyFont="1" applyFill="1" applyBorder="1" applyAlignment="1">
      <alignment horizontal="center" vertical="center"/>
    </xf>
    <xf numFmtId="0" fontId="2" fillId="33" borderId="18" xfId="0" applyFont="1" applyFill="1" applyBorder="1" applyAlignment="1">
      <alignment horizontal="center" vertical="center"/>
    </xf>
    <xf numFmtId="49" fontId="2" fillId="33" borderId="18" xfId="0" applyNumberFormat="1" applyFont="1" applyFill="1" applyBorder="1" applyAlignment="1">
      <alignment horizontal="center" vertical="center" wrapText="1"/>
    </xf>
    <xf numFmtId="0" fontId="2" fillId="33" borderId="18" xfId="0" applyFont="1" applyFill="1" applyBorder="1" applyAlignment="1">
      <alignment horizontal="center" vertical="center" wrapText="1"/>
    </xf>
    <xf numFmtId="1" fontId="2" fillId="33" borderId="18" xfId="0" applyNumberFormat="1" applyFont="1" applyFill="1" applyBorder="1" applyAlignment="1">
      <alignment horizontal="center" vertical="center" wrapText="1"/>
    </xf>
    <xf numFmtId="3" fontId="2" fillId="33" borderId="18" xfId="0" applyNumberFormat="1" applyFont="1" applyFill="1" applyBorder="1" applyAlignment="1">
      <alignment horizontal="center" vertical="center"/>
    </xf>
    <xf numFmtId="3" fontId="2" fillId="33" borderId="10" xfId="0" applyNumberFormat="1" applyFont="1" applyFill="1" applyBorder="1" applyAlignment="1">
      <alignment horizontal="center" vertical="center" wrapText="1"/>
    </xf>
    <xf numFmtId="0" fontId="5" fillId="33" borderId="32" xfId="0" applyFont="1" applyFill="1" applyBorder="1" applyAlignment="1">
      <alignment horizontal="center" vertical="center"/>
    </xf>
    <xf numFmtId="49" fontId="5" fillId="33" borderId="33" xfId="0" applyNumberFormat="1" applyFont="1" applyFill="1" applyBorder="1" applyAlignment="1">
      <alignment horizontal="center" vertical="center" wrapText="1"/>
    </xf>
    <xf numFmtId="0" fontId="5" fillId="33" borderId="33" xfId="0" applyFont="1" applyFill="1" applyBorder="1" applyAlignment="1">
      <alignment horizontal="center" vertical="center"/>
    </xf>
    <xf numFmtId="1" fontId="5" fillId="33" borderId="33" xfId="0" applyNumberFormat="1" applyFont="1" applyFill="1" applyBorder="1" applyAlignment="1">
      <alignment horizontal="center" vertical="center"/>
    </xf>
    <xf numFmtId="3" fontId="5" fillId="33" borderId="33" xfId="0" applyNumberFormat="1" applyFont="1" applyFill="1" applyBorder="1" applyAlignment="1">
      <alignment horizontal="center" vertical="center"/>
    </xf>
    <xf numFmtId="0" fontId="72" fillId="33" borderId="27" xfId="0" applyFont="1" applyFill="1" applyBorder="1" applyAlignment="1">
      <alignment horizontal="center" vertical="center"/>
    </xf>
    <xf numFmtId="1" fontId="2" fillId="33" borderId="35" xfId="0" applyNumberFormat="1" applyFont="1" applyFill="1" applyBorder="1" applyAlignment="1">
      <alignment horizontal="center" vertical="center"/>
    </xf>
    <xf numFmtId="3" fontId="2" fillId="33" borderId="35" xfId="0" applyNumberFormat="1" applyFont="1" applyFill="1" applyBorder="1" applyAlignment="1">
      <alignment horizontal="center" vertical="center"/>
    </xf>
    <xf numFmtId="3" fontId="2" fillId="33" borderId="35" xfId="42" applyNumberFormat="1" applyFont="1" applyFill="1" applyBorder="1" applyAlignment="1" applyProtection="1">
      <alignment horizontal="center" vertical="center" wrapText="1"/>
      <protection/>
    </xf>
    <xf numFmtId="3" fontId="2" fillId="33" borderId="0" xfId="0" applyNumberFormat="1" applyFont="1" applyFill="1" applyAlignment="1">
      <alignment horizontal="center"/>
    </xf>
    <xf numFmtId="3" fontId="43" fillId="33" borderId="24" xfId="0" applyNumberFormat="1" applyFont="1" applyFill="1" applyBorder="1" applyAlignment="1">
      <alignment horizontal="right" vertical="center"/>
    </xf>
    <xf numFmtId="3" fontId="5" fillId="33" borderId="36" xfId="0" applyNumberFormat="1" applyFont="1" applyFill="1" applyBorder="1" applyAlignment="1">
      <alignment horizontal="center" vertical="center"/>
    </xf>
    <xf numFmtId="49" fontId="2" fillId="33" borderId="35" xfId="0" applyNumberFormat="1" applyFont="1" applyFill="1" applyBorder="1" applyAlignment="1">
      <alignment horizontal="left" vertical="center" wrapText="1"/>
    </xf>
    <xf numFmtId="49" fontId="2" fillId="33" borderId="35" xfId="0" applyNumberFormat="1" applyFont="1" applyFill="1" applyBorder="1" applyAlignment="1">
      <alignment horizontal="center" vertical="center"/>
    </xf>
    <xf numFmtId="0" fontId="2" fillId="33" borderId="35" xfId="0" applyFont="1" applyFill="1" applyBorder="1" applyAlignment="1">
      <alignment horizontal="center" vertical="center"/>
    </xf>
    <xf numFmtId="4" fontId="2" fillId="33" borderId="35" xfId="0" applyNumberFormat="1" applyFont="1" applyFill="1" applyBorder="1" applyAlignment="1">
      <alignment horizontal="center" vertical="center"/>
    </xf>
    <xf numFmtId="10" fontId="2" fillId="33" borderId="35" xfId="0" applyNumberFormat="1" applyFont="1" applyFill="1" applyBorder="1" applyAlignment="1">
      <alignment horizontal="center" vertical="center"/>
    </xf>
    <xf numFmtId="3" fontId="2" fillId="33" borderId="35" xfId="0" applyNumberFormat="1" applyFont="1" applyFill="1" applyBorder="1" applyAlignment="1" applyProtection="1">
      <alignment horizontal="center" vertical="center"/>
      <protection locked="0"/>
    </xf>
    <xf numFmtId="10" fontId="2" fillId="33" borderId="10" xfId="75" applyNumberFormat="1" applyFont="1" applyFill="1" applyBorder="1" applyAlignment="1" applyProtection="1">
      <alignment horizontal="center" vertical="center"/>
      <protection/>
    </xf>
    <xf numFmtId="10" fontId="2" fillId="33" borderId="10" xfId="0" applyNumberFormat="1" applyFont="1" applyFill="1" applyBorder="1" applyAlignment="1">
      <alignment horizontal="center" vertical="center" wrapText="1"/>
    </xf>
    <xf numFmtId="4" fontId="2" fillId="33" borderId="10" xfId="50" applyNumberFormat="1" applyFont="1" applyFill="1" applyBorder="1" applyAlignment="1" quotePrefix="1">
      <alignment horizontal="center" vertical="center" wrapText="1"/>
      <protection/>
    </xf>
    <xf numFmtId="10" fontId="2" fillId="33" borderId="10" xfId="75" applyNumberFormat="1" applyFont="1" applyFill="1" applyBorder="1" applyAlignment="1">
      <alignment horizontal="center" vertical="center"/>
    </xf>
    <xf numFmtId="10" fontId="2" fillId="33" borderId="10" xfId="0" applyNumberFormat="1" applyFont="1" applyFill="1" applyBorder="1" applyAlignment="1">
      <alignment horizontal="center" vertical="center"/>
    </xf>
    <xf numFmtId="3" fontId="72" fillId="33" borderId="10" xfId="0" applyNumberFormat="1" applyFont="1" applyFill="1" applyBorder="1" applyAlignment="1">
      <alignment horizontal="center" vertical="center"/>
    </xf>
    <xf numFmtId="1" fontId="2" fillId="33" borderId="10" xfId="72" applyNumberFormat="1" applyFont="1" applyFill="1" applyBorder="1" applyAlignment="1">
      <alignment horizontal="center" vertical="center" wrapText="1"/>
      <protection/>
    </xf>
    <xf numFmtId="1" fontId="72" fillId="33" borderId="10" xfId="0" applyNumberFormat="1" applyFont="1" applyFill="1" applyBorder="1" applyAlignment="1">
      <alignment horizontal="center" vertical="center" wrapText="1"/>
    </xf>
    <xf numFmtId="0" fontId="2" fillId="33" borderId="10" xfId="52" applyFont="1" applyFill="1" applyBorder="1" applyAlignment="1">
      <alignment horizontal="center" vertical="center" wrapText="1"/>
      <protection/>
    </xf>
    <xf numFmtId="1" fontId="2" fillId="33" borderId="10" xfId="71" applyNumberFormat="1" applyFont="1" applyFill="1" applyBorder="1" applyAlignment="1">
      <alignment horizontal="center" vertical="center"/>
      <protection/>
    </xf>
    <xf numFmtId="49" fontId="2" fillId="33" borderId="10" xfId="65" applyNumberFormat="1" applyFont="1" applyFill="1" applyBorder="1" applyAlignment="1">
      <alignment horizontal="center" vertical="center"/>
      <protection/>
    </xf>
    <xf numFmtId="10" fontId="2" fillId="33" borderId="10" xfId="75" applyNumberFormat="1" applyFont="1" applyFill="1" applyBorder="1" applyAlignment="1" applyProtection="1">
      <alignment horizontal="center" vertical="center" wrapText="1"/>
      <protection/>
    </xf>
    <xf numFmtId="49" fontId="2" fillId="33" borderId="10" xfId="0" applyNumberFormat="1" applyFont="1" applyFill="1" applyBorder="1" applyAlignment="1" applyProtection="1">
      <alignment horizontal="center" vertical="center" wrapText="1"/>
      <protection locked="0"/>
    </xf>
    <xf numFmtId="0" fontId="8" fillId="33" borderId="10" xfId="52" applyFont="1" applyFill="1" applyBorder="1" applyAlignment="1" applyProtection="1">
      <alignment horizontal="left" vertical="top" wrapText="1"/>
      <protection locked="0"/>
    </xf>
    <xf numFmtId="10" fontId="73" fillId="33" borderId="10" xfId="0" applyNumberFormat="1" applyFont="1" applyFill="1" applyBorder="1" applyAlignment="1">
      <alignment horizontal="center" vertical="center"/>
    </xf>
    <xf numFmtId="10" fontId="2" fillId="33" borderId="10" xfId="75" applyNumberFormat="1" applyFont="1" applyFill="1" applyBorder="1" applyAlignment="1">
      <alignment horizontal="center" vertical="center" wrapText="1"/>
    </xf>
    <xf numFmtId="0" fontId="2" fillId="33" borderId="10" xfId="52" applyFont="1" applyFill="1" applyBorder="1" applyAlignment="1" applyProtection="1">
      <alignment horizontal="left" vertical="top" wrapText="1"/>
      <protection locked="0"/>
    </xf>
    <xf numFmtId="4" fontId="2" fillId="33" borderId="10" xfId="42" applyNumberFormat="1" applyFont="1" applyFill="1" applyBorder="1" applyAlignment="1" applyProtection="1">
      <alignment horizontal="center" vertical="center" wrapText="1"/>
      <protection/>
    </xf>
    <xf numFmtId="10" fontId="73" fillId="33" borderId="10" xfId="75" applyNumberFormat="1" applyFont="1" applyFill="1" applyBorder="1" applyAlignment="1" applyProtection="1">
      <alignment horizontal="center" vertical="center"/>
      <protection/>
    </xf>
    <xf numFmtId="3" fontId="73" fillId="33" borderId="10" xfId="0" applyNumberFormat="1" applyFont="1" applyFill="1" applyBorder="1" applyAlignment="1">
      <alignment horizontal="center" vertical="center"/>
    </xf>
    <xf numFmtId="17" fontId="2" fillId="33" borderId="10" xfId="0" applyNumberFormat="1" applyFont="1" applyFill="1" applyBorder="1" applyAlignment="1">
      <alignment horizontal="center" vertical="center" wrapText="1"/>
    </xf>
    <xf numFmtId="0" fontId="2" fillId="33" borderId="10" xfId="0" applyFont="1" applyFill="1" applyBorder="1" applyAlignment="1">
      <alignment vertical="center" wrapText="1"/>
    </xf>
    <xf numFmtId="3" fontId="2" fillId="33" borderId="10" xfId="0" applyNumberFormat="1" applyFont="1" applyFill="1" applyBorder="1" applyAlignment="1">
      <alignment horizontal="center" vertical="center"/>
    </xf>
    <xf numFmtId="0" fontId="2" fillId="33" borderId="18" xfId="0" applyFont="1" applyFill="1" applyBorder="1" applyAlignment="1">
      <alignment horizontal="left" vertical="center" wrapText="1"/>
    </xf>
    <xf numFmtId="4" fontId="2" fillId="33" borderId="18" xfId="0" applyNumberFormat="1" applyFont="1" applyFill="1" applyBorder="1" applyAlignment="1">
      <alignment horizontal="center" vertical="center"/>
    </xf>
    <xf numFmtId="10" fontId="2" fillId="33" borderId="18" xfId="77" applyNumberFormat="1" applyFont="1" applyFill="1" applyBorder="1" applyAlignment="1">
      <alignment horizontal="center" vertical="center"/>
    </xf>
    <xf numFmtId="3" fontId="2" fillId="33" borderId="18" xfId="77" applyNumberFormat="1" applyFont="1" applyFill="1" applyBorder="1" applyAlignment="1">
      <alignment horizontal="center" vertical="center"/>
    </xf>
    <xf numFmtId="0" fontId="2" fillId="33" borderId="18" xfId="77" applyFont="1" applyFill="1" applyBorder="1" applyAlignment="1">
      <alignment horizontal="center" vertical="center" wrapText="1"/>
    </xf>
    <xf numFmtId="3" fontId="2" fillId="33" borderId="18" xfId="0" applyNumberFormat="1" applyFont="1" applyFill="1" applyBorder="1" applyAlignment="1">
      <alignment horizontal="center" vertical="center" wrapText="1"/>
    </xf>
    <xf numFmtId="4" fontId="2" fillId="33" borderId="0" xfId="0" applyNumberFormat="1" applyFont="1" applyFill="1" applyAlignment="1">
      <alignment horizontal="center" vertical="center"/>
    </xf>
    <xf numFmtId="0" fontId="2" fillId="33" borderId="0" xfId="0" applyFont="1" applyFill="1" applyBorder="1" applyAlignment="1">
      <alignment horizontal="left" vertical="center" wrapText="1"/>
    </xf>
    <xf numFmtId="0" fontId="2" fillId="33" borderId="0" xfId="0" applyFont="1" applyFill="1" applyBorder="1" applyAlignment="1">
      <alignment horizontal="center" vertical="center"/>
    </xf>
    <xf numFmtId="0" fontId="2" fillId="33" borderId="0" xfId="0" applyFont="1" applyFill="1" applyBorder="1" applyAlignment="1">
      <alignment horizontal="center" vertical="center" wrapText="1"/>
    </xf>
    <xf numFmtId="10" fontId="2" fillId="33" borderId="0" xfId="0" applyNumberFormat="1" applyFont="1" applyFill="1" applyBorder="1" applyAlignment="1">
      <alignment horizontal="center" vertical="center"/>
    </xf>
    <xf numFmtId="10" fontId="2" fillId="33" borderId="0" xfId="0" applyNumberFormat="1" applyFont="1" applyFill="1" applyBorder="1" applyAlignment="1">
      <alignment horizontal="right" vertical="center"/>
    </xf>
    <xf numFmtId="3" fontId="2" fillId="33" borderId="0" xfId="0" applyNumberFormat="1" applyFont="1" applyFill="1" applyBorder="1" applyAlignment="1">
      <alignment horizontal="center" vertical="center"/>
    </xf>
    <xf numFmtId="3" fontId="2" fillId="33" borderId="0" xfId="0" applyNumberFormat="1" applyFont="1" applyFill="1" applyBorder="1" applyAlignment="1">
      <alignment horizontal="right" vertical="center"/>
    </xf>
    <xf numFmtId="0" fontId="2" fillId="33" borderId="0" xfId="65" applyFont="1" applyFill="1" applyAlignment="1">
      <alignment horizontal="left"/>
      <protection/>
    </xf>
    <xf numFmtId="0" fontId="2" fillId="33" borderId="0" xfId="65" applyFont="1" applyFill="1" applyAlignment="1">
      <alignment horizontal="center"/>
      <protection/>
    </xf>
    <xf numFmtId="0" fontId="2" fillId="33" borderId="0" xfId="65" applyFont="1" applyFill="1" applyBorder="1" applyAlignment="1">
      <alignment horizontal="center"/>
      <protection/>
    </xf>
    <xf numFmtId="10" fontId="2" fillId="33" borderId="0" xfId="65" applyNumberFormat="1" applyFont="1" applyFill="1" applyBorder="1" applyAlignment="1">
      <alignment horizontal="center" vertical="center" wrapText="1"/>
      <protection/>
    </xf>
    <xf numFmtId="0" fontId="2" fillId="33" borderId="0" xfId="65" applyFont="1" applyFill="1" applyBorder="1">
      <alignment/>
      <protection/>
    </xf>
    <xf numFmtId="0" fontId="5" fillId="33" borderId="0" xfId="0" applyFont="1" applyFill="1" applyAlignment="1">
      <alignment horizontal="left"/>
    </xf>
    <xf numFmtId="0" fontId="5" fillId="33" borderId="0" xfId="0" applyFont="1" applyFill="1" applyAlignment="1">
      <alignment vertical="center" wrapText="1"/>
    </xf>
    <xf numFmtId="0" fontId="2" fillId="33" borderId="0" xfId="0" applyFont="1" applyFill="1" applyAlignment="1">
      <alignment vertical="center" wrapText="1"/>
    </xf>
    <xf numFmtId="0" fontId="2" fillId="33" borderId="0" xfId="0" applyFont="1" applyFill="1" applyAlignment="1">
      <alignment vertical="center"/>
    </xf>
    <xf numFmtId="0" fontId="2" fillId="33" borderId="0" xfId="0" applyFont="1" applyFill="1" applyAlignment="1">
      <alignment wrapText="1"/>
    </xf>
    <xf numFmtId="0" fontId="2" fillId="33" borderId="0" xfId="78" applyFont="1" applyFill="1">
      <alignment/>
    </xf>
    <xf numFmtId="49" fontId="5" fillId="33" borderId="36" xfId="0" applyNumberFormat="1" applyFont="1" applyFill="1" applyBorder="1" applyAlignment="1">
      <alignment horizontal="center" vertical="center" wrapText="1"/>
    </xf>
    <xf numFmtId="49" fontId="2" fillId="33" borderId="11" xfId="0" applyNumberFormat="1" applyFont="1" applyFill="1" applyBorder="1" applyAlignment="1">
      <alignment horizontal="center" wrapText="1"/>
    </xf>
    <xf numFmtId="49" fontId="2" fillId="33" borderId="0" xfId="0" applyNumberFormat="1" applyFont="1" applyFill="1" applyBorder="1" applyAlignment="1">
      <alignment horizontal="center" wrapText="1"/>
    </xf>
    <xf numFmtId="1" fontId="2" fillId="33" borderId="11" xfId="0" applyNumberFormat="1" applyFont="1" applyFill="1" applyBorder="1" applyAlignment="1">
      <alignment/>
    </xf>
    <xf numFmtId="2" fontId="2" fillId="33" borderId="11" xfId="0" applyNumberFormat="1" applyFont="1" applyFill="1" applyBorder="1" applyAlignment="1">
      <alignment horizontal="center"/>
    </xf>
    <xf numFmtId="2" fontId="2" fillId="33" borderId="37" xfId="0" applyNumberFormat="1" applyFont="1" applyFill="1" applyBorder="1" applyAlignment="1">
      <alignment horizontal="center"/>
    </xf>
    <xf numFmtId="2" fontId="2" fillId="33" borderId="0" xfId="0" applyNumberFormat="1" applyFont="1" applyFill="1" applyBorder="1" applyAlignment="1">
      <alignment horizontal="center"/>
    </xf>
    <xf numFmtId="4" fontId="2" fillId="33" borderId="0" xfId="0" applyNumberFormat="1" applyFont="1" applyFill="1" applyBorder="1" applyAlignment="1">
      <alignment horizontal="center" vertical="center" wrapText="1"/>
    </xf>
    <xf numFmtId="0" fontId="6" fillId="33" borderId="0" xfId="0" applyFont="1" applyFill="1" applyAlignment="1">
      <alignment horizontal="center"/>
    </xf>
    <xf numFmtId="4" fontId="2" fillId="33" borderId="38" xfId="0" applyNumberFormat="1" applyFont="1" applyFill="1" applyBorder="1" applyAlignment="1">
      <alignment/>
    </xf>
    <xf numFmtId="0" fontId="6" fillId="33" borderId="0" xfId="0" applyFont="1" applyFill="1" applyBorder="1" applyAlignment="1">
      <alignment horizontal="center"/>
    </xf>
    <xf numFmtId="0" fontId="2" fillId="34" borderId="22" xfId="0" applyFont="1" applyFill="1" applyBorder="1" applyAlignment="1">
      <alignment vertical="top" wrapText="1"/>
    </xf>
    <xf numFmtId="0" fontId="2" fillId="33" borderId="22" xfId="0" applyFont="1" applyFill="1" applyBorder="1" applyAlignment="1">
      <alignment vertical="top" wrapText="1"/>
    </xf>
    <xf numFmtId="49" fontId="2" fillId="33" borderId="22" xfId="0" applyNumberFormat="1" applyFont="1" applyFill="1" applyBorder="1" applyAlignment="1">
      <alignment vertical="top" wrapText="1"/>
    </xf>
    <xf numFmtId="49" fontId="2" fillId="33" borderId="0" xfId="0" applyNumberFormat="1" applyFont="1" applyFill="1" applyAlignment="1">
      <alignment vertical="top" wrapText="1"/>
    </xf>
    <xf numFmtId="4" fontId="2" fillId="33" borderId="0" xfId="0" applyNumberFormat="1" applyFont="1" applyFill="1" applyAlignment="1">
      <alignment vertical="top" wrapText="1"/>
    </xf>
    <xf numFmtId="49" fontId="73" fillId="33" borderId="31" xfId="0" applyNumberFormat="1" applyFont="1" applyFill="1" applyBorder="1" applyAlignment="1">
      <alignment vertical="top" wrapText="1"/>
    </xf>
    <xf numFmtId="3" fontId="2" fillId="33" borderId="22" xfId="0" applyNumberFormat="1" applyFont="1" applyFill="1" applyBorder="1" applyAlignment="1">
      <alignment vertical="top" wrapText="1"/>
    </xf>
    <xf numFmtId="0" fontId="2" fillId="35" borderId="22" xfId="65" applyFont="1" applyFill="1" applyBorder="1" applyAlignment="1">
      <alignment vertical="top" wrapText="1"/>
      <protection/>
    </xf>
    <xf numFmtId="0" fontId="2" fillId="33" borderId="22" xfId="0" applyFont="1" applyFill="1" applyBorder="1" applyAlignment="1">
      <alignment vertical="top"/>
    </xf>
    <xf numFmtId="49" fontId="73" fillId="33" borderId="22" xfId="0" applyNumberFormat="1" applyFont="1" applyFill="1" applyBorder="1" applyAlignment="1">
      <alignment vertical="top" wrapText="1"/>
    </xf>
    <xf numFmtId="14" fontId="2" fillId="33" borderId="22" xfId="77" applyNumberFormat="1" applyFont="1" applyFill="1" applyBorder="1" applyAlignment="1">
      <alignment vertical="top" wrapText="1"/>
    </xf>
    <xf numFmtId="4" fontId="2" fillId="33" borderId="22" xfId="0" applyNumberFormat="1" applyFont="1" applyFill="1" applyBorder="1" applyAlignment="1">
      <alignment vertical="top" wrapText="1"/>
    </xf>
    <xf numFmtId="14" fontId="2" fillId="33" borderId="22" xfId="0" applyNumberFormat="1" applyFont="1" applyFill="1" applyBorder="1" applyAlignment="1">
      <alignment vertical="top" wrapText="1"/>
    </xf>
    <xf numFmtId="49" fontId="74" fillId="33" borderId="22" xfId="77" applyNumberFormat="1" applyFont="1" applyFill="1" applyBorder="1" applyAlignment="1">
      <alignment vertical="top" wrapText="1"/>
    </xf>
    <xf numFmtId="0" fontId="2" fillId="33" borderId="22" xfId="52" applyFont="1" applyFill="1" applyBorder="1" applyAlignment="1" applyProtection="1">
      <alignment vertical="top" wrapText="1"/>
      <protection locked="0"/>
    </xf>
    <xf numFmtId="4" fontId="2" fillId="33" borderId="22" xfId="65" applyNumberFormat="1" applyFont="1" applyFill="1" applyBorder="1" applyAlignment="1">
      <alignment vertical="top" wrapText="1"/>
      <protection/>
    </xf>
    <xf numFmtId="0" fontId="74" fillId="33" borderId="22" xfId="0" applyFont="1" applyFill="1" applyBorder="1" applyAlignment="1">
      <alignment vertical="top" wrapText="1"/>
    </xf>
    <xf numFmtId="3" fontId="2" fillId="33" borderId="22" xfId="77" applyNumberFormat="1" applyFont="1" applyFill="1" applyBorder="1" applyAlignment="1">
      <alignment vertical="top" wrapText="1"/>
    </xf>
    <xf numFmtId="1" fontId="2" fillId="33" borderId="22" xfId="71" applyNumberFormat="1" applyFont="1" applyFill="1" applyBorder="1" applyAlignment="1">
      <alignment vertical="top" wrapText="1"/>
      <protection/>
    </xf>
    <xf numFmtId="0" fontId="2" fillId="33" borderId="22" xfId="77" applyFont="1" applyFill="1" applyBorder="1" applyAlignment="1">
      <alignment vertical="top" wrapText="1"/>
    </xf>
    <xf numFmtId="49" fontId="2" fillId="33" borderId="39" xfId="0" applyNumberFormat="1" applyFont="1" applyFill="1" applyBorder="1" applyAlignment="1">
      <alignment vertical="top" wrapText="1"/>
    </xf>
    <xf numFmtId="49" fontId="2" fillId="33" borderId="40" xfId="0" applyNumberFormat="1" applyFont="1" applyFill="1" applyBorder="1" applyAlignment="1">
      <alignment vertical="top" wrapText="1"/>
    </xf>
    <xf numFmtId="3" fontId="2" fillId="33" borderId="0" xfId="0" applyNumberFormat="1" applyFont="1" applyFill="1" applyBorder="1" applyAlignment="1">
      <alignment vertical="top"/>
    </xf>
    <xf numFmtId="0" fontId="2" fillId="33" borderId="0" xfId="0" applyFont="1" applyFill="1" applyAlignment="1">
      <alignment vertical="top" wrapText="1"/>
    </xf>
    <xf numFmtId="0" fontId="2" fillId="33" borderId="0" xfId="65" applyFont="1" applyFill="1" applyBorder="1" applyAlignment="1">
      <alignment vertical="top"/>
      <protection/>
    </xf>
    <xf numFmtId="49" fontId="2" fillId="33" borderId="0" xfId="0" applyNumberFormat="1" applyFont="1" applyFill="1" applyBorder="1" applyAlignment="1">
      <alignment vertical="top" wrapText="1"/>
    </xf>
    <xf numFmtId="2" fontId="6" fillId="33" borderId="0" xfId="75" applyNumberFormat="1" applyFont="1" applyFill="1" applyBorder="1" applyAlignment="1">
      <alignment vertical="top" wrapText="1"/>
    </xf>
    <xf numFmtId="0" fontId="2" fillId="33" borderId="10" xfId="0" applyFont="1" applyFill="1" applyBorder="1" applyAlignment="1" applyProtection="1">
      <alignment horizontal="left" vertical="center" wrapText="1"/>
      <protection locked="0"/>
    </xf>
    <xf numFmtId="0" fontId="5" fillId="33" borderId="0" xfId="0" applyFont="1" applyFill="1" applyBorder="1" applyAlignment="1">
      <alignment horizontal="right" vertical="top"/>
    </xf>
    <xf numFmtId="0" fontId="72" fillId="33" borderId="0" xfId="68" applyFont="1" applyFill="1">
      <alignment/>
      <protection/>
    </xf>
    <xf numFmtId="0" fontId="72" fillId="0" borderId="0" xfId="68" applyFont="1">
      <alignment/>
      <protection/>
    </xf>
    <xf numFmtId="0" fontId="72" fillId="0" borderId="0" xfId="68" applyFont="1" applyAlignment="1">
      <alignment vertical="top"/>
      <protection/>
    </xf>
    <xf numFmtId="3" fontId="5" fillId="0" borderId="35" xfId="68" applyNumberFormat="1" applyFont="1" applyFill="1" applyBorder="1" applyAlignment="1">
      <alignment horizontal="center" vertical="center" wrapText="1"/>
      <protection/>
    </xf>
    <xf numFmtId="3" fontId="5" fillId="0" borderId="18" xfId="68" applyNumberFormat="1" applyFont="1" applyFill="1" applyBorder="1" applyAlignment="1">
      <alignment horizontal="center" vertical="center" wrapText="1"/>
      <protection/>
    </xf>
    <xf numFmtId="3" fontId="5" fillId="33" borderId="41" xfId="68" applyNumberFormat="1" applyFont="1" applyFill="1" applyBorder="1" applyAlignment="1">
      <alignment horizontal="center" vertical="center" wrapText="1"/>
      <protection/>
    </xf>
    <xf numFmtId="49" fontId="5" fillId="33" borderId="39" xfId="68" applyNumberFormat="1" applyFont="1" applyFill="1" applyBorder="1" applyAlignment="1">
      <alignment horizontal="center" vertical="center" wrapText="1"/>
      <protection/>
    </xf>
    <xf numFmtId="0" fontId="5" fillId="33" borderId="42" xfId="68" applyFont="1" applyFill="1" applyBorder="1" applyAlignment="1">
      <alignment horizontal="center" vertical="center"/>
      <protection/>
    </xf>
    <xf numFmtId="0" fontId="5" fillId="33" borderId="43" xfId="68" applyFont="1" applyFill="1" applyBorder="1" applyAlignment="1">
      <alignment horizontal="center" vertical="center"/>
      <protection/>
    </xf>
    <xf numFmtId="1" fontId="5" fillId="33" borderId="43" xfId="68" applyNumberFormat="1" applyFont="1" applyFill="1" applyBorder="1" applyAlignment="1">
      <alignment horizontal="center" vertical="center"/>
      <protection/>
    </xf>
    <xf numFmtId="1" fontId="5" fillId="0" borderId="43" xfId="68" applyNumberFormat="1" applyFont="1" applyFill="1" applyBorder="1" applyAlignment="1">
      <alignment horizontal="center" vertical="center"/>
      <protection/>
    </xf>
    <xf numFmtId="3" fontId="5" fillId="33" borderId="43" xfId="68" applyNumberFormat="1" applyFont="1" applyFill="1" applyBorder="1" applyAlignment="1">
      <alignment horizontal="center" vertical="center"/>
      <protection/>
    </xf>
    <xf numFmtId="3" fontId="5" fillId="33" borderId="44" xfId="68" applyNumberFormat="1" applyFont="1" applyFill="1" applyBorder="1" applyAlignment="1">
      <alignment horizontal="center" vertical="center"/>
      <protection/>
    </xf>
    <xf numFmtId="1" fontId="5" fillId="33" borderId="45" xfId="68" applyNumberFormat="1" applyFont="1" applyFill="1" applyBorder="1" applyAlignment="1">
      <alignment horizontal="center" vertical="top" wrapText="1"/>
      <protection/>
    </xf>
    <xf numFmtId="0" fontId="72" fillId="33" borderId="21" xfId="68" applyFont="1" applyFill="1" applyBorder="1" applyAlignment="1">
      <alignment horizontal="center" vertical="center"/>
      <protection/>
    </xf>
    <xf numFmtId="0" fontId="2" fillId="33" borderId="10" xfId="68" applyFont="1" applyFill="1" applyBorder="1" applyAlignment="1">
      <alignment horizontal="left" vertical="center" wrapText="1"/>
      <protection/>
    </xf>
    <xf numFmtId="49" fontId="2" fillId="33" borderId="10" xfId="68" applyNumberFormat="1" applyFont="1" applyFill="1" applyBorder="1" applyAlignment="1">
      <alignment horizontal="center" vertical="center"/>
      <protection/>
    </xf>
    <xf numFmtId="0" fontId="2" fillId="33" borderId="10" xfId="68" applyFont="1" applyFill="1" applyBorder="1" applyAlignment="1">
      <alignment horizontal="center" vertical="center" wrapText="1"/>
      <protection/>
    </xf>
    <xf numFmtId="1" fontId="2" fillId="33" borderId="10" xfId="68" applyNumberFormat="1" applyFont="1" applyFill="1" applyBorder="1" applyAlignment="1">
      <alignment horizontal="center" vertical="center" wrapText="1"/>
      <protection/>
    </xf>
    <xf numFmtId="4" fontId="2" fillId="33" borderId="10" xfId="68" applyNumberFormat="1" applyFont="1" applyFill="1" applyBorder="1" applyAlignment="1">
      <alignment horizontal="center" vertical="center"/>
      <protection/>
    </xf>
    <xf numFmtId="10" fontId="2" fillId="33" borderId="10" xfId="76" applyNumberFormat="1" applyFont="1" applyFill="1" applyBorder="1" applyAlignment="1" applyProtection="1">
      <alignment horizontal="center" vertical="center"/>
      <protection/>
    </xf>
    <xf numFmtId="10" fontId="2" fillId="33" borderId="10" xfId="68" applyNumberFormat="1" applyFont="1" applyFill="1" applyBorder="1" applyAlignment="1">
      <alignment horizontal="center" vertical="center"/>
      <protection/>
    </xf>
    <xf numFmtId="3" fontId="2" fillId="33" borderId="10" xfId="68" applyNumberFormat="1" applyFont="1" applyFill="1" applyBorder="1" applyAlignment="1">
      <alignment horizontal="center" vertical="center"/>
      <protection/>
    </xf>
    <xf numFmtId="3" fontId="2" fillId="33" borderId="10" xfId="68" applyNumberFormat="1" applyFont="1" applyFill="1" applyBorder="1" applyAlignment="1">
      <alignment horizontal="center" vertical="center" wrapText="1"/>
      <protection/>
    </xf>
    <xf numFmtId="14" fontId="2" fillId="33" borderId="22" xfId="68" applyNumberFormat="1" applyFont="1" applyFill="1" applyBorder="1" applyAlignment="1">
      <alignment horizontal="left" vertical="top" wrapText="1"/>
      <protection/>
    </xf>
    <xf numFmtId="2" fontId="2" fillId="33" borderId="10" xfId="77" applyNumberFormat="1" applyFont="1" applyFill="1" applyBorder="1" applyAlignment="1">
      <alignment horizontal="center" vertical="center" wrapText="1"/>
    </xf>
    <xf numFmtId="1" fontId="2" fillId="33" borderId="10" xfId="77" applyNumberFormat="1" applyFont="1" applyFill="1" applyBorder="1" applyAlignment="1">
      <alignment horizontal="center" vertical="center" wrapText="1"/>
    </xf>
    <xf numFmtId="4" fontId="2" fillId="33" borderId="10" xfId="50" applyNumberFormat="1" applyFont="1" applyFill="1" applyBorder="1" applyAlignment="1">
      <alignment horizontal="center" vertical="center" wrapText="1"/>
      <protection/>
    </xf>
    <xf numFmtId="3" fontId="2" fillId="33" borderId="10" xfId="68" applyNumberFormat="1" applyFont="1" applyFill="1" applyBorder="1" applyAlignment="1" applyProtection="1">
      <alignment horizontal="center" vertical="center"/>
      <protection locked="0"/>
    </xf>
    <xf numFmtId="0" fontId="2" fillId="33" borderId="10" xfId="52" applyFont="1" applyFill="1" applyBorder="1" applyAlignment="1">
      <alignment horizontal="center" vertical="center" wrapText="1"/>
      <protection/>
    </xf>
    <xf numFmtId="3" fontId="2" fillId="33" borderId="10" xfId="44" applyNumberFormat="1" applyFont="1" applyFill="1" applyBorder="1" applyAlignment="1" applyProtection="1">
      <alignment horizontal="center" vertical="center" wrapText="1"/>
      <protection/>
    </xf>
    <xf numFmtId="2" fontId="2" fillId="33" borderId="10" xfId="68" applyNumberFormat="1" applyFont="1" applyFill="1" applyBorder="1" applyAlignment="1">
      <alignment horizontal="center" vertical="center" wrapText="1"/>
      <protection/>
    </xf>
    <xf numFmtId="10" fontId="2" fillId="33" borderId="10" xfId="76" applyNumberFormat="1" applyFont="1" applyFill="1" applyBorder="1" applyAlignment="1">
      <alignment horizontal="center" vertical="center"/>
    </xf>
    <xf numFmtId="10" fontId="2" fillId="0" borderId="10" xfId="68" applyNumberFormat="1" applyFont="1" applyFill="1" applyBorder="1" applyAlignment="1">
      <alignment horizontal="center" vertical="center"/>
      <protection/>
    </xf>
    <xf numFmtId="3" fontId="2" fillId="0" borderId="10" xfId="68" applyNumberFormat="1" applyFont="1" applyFill="1" applyBorder="1" applyAlignment="1">
      <alignment horizontal="center" vertical="center"/>
      <protection/>
    </xf>
    <xf numFmtId="49" fontId="2" fillId="33" borderId="10" xfId="68" applyNumberFormat="1" applyFont="1" applyFill="1" applyBorder="1" applyAlignment="1">
      <alignment horizontal="center" vertical="center" wrapText="1"/>
      <protection/>
    </xf>
    <xf numFmtId="3" fontId="2" fillId="33" borderId="22" xfId="0" applyNumberFormat="1" applyFont="1" applyFill="1" applyBorder="1" applyAlignment="1">
      <alignment horizontal="left" vertical="top" wrapText="1"/>
    </xf>
    <xf numFmtId="1" fontId="2" fillId="33" borderId="10" xfId="71" applyNumberFormat="1" applyFont="1" applyFill="1" applyBorder="1" applyAlignment="1">
      <alignment horizontal="center" vertical="center" wrapText="1"/>
      <protection/>
    </xf>
    <xf numFmtId="10" fontId="2" fillId="33" borderId="10" xfId="68" applyNumberFormat="1" applyFont="1" applyFill="1" applyBorder="1" applyAlignment="1">
      <alignment horizontal="center" vertical="center" wrapText="1"/>
      <protection/>
    </xf>
    <xf numFmtId="0" fontId="2" fillId="33" borderId="10" xfId="68" applyFont="1" applyFill="1" applyBorder="1" applyAlignment="1" applyProtection="1">
      <alignment horizontal="center" vertical="center" wrapText="1"/>
      <protection locked="0"/>
    </xf>
    <xf numFmtId="3" fontId="2" fillId="33" borderId="22" xfId="68" applyNumberFormat="1" applyFont="1" applyFill="1" applyBorder="1" applyAlignment="1">
      <alignment horizontal="left" vertical="top" wrapText="1"/>
      <protection/>
    </xf>
    <xf numFmtId="49"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1" fontId="2" fillId="33" borderId="10" xfId="0" applyNumberFormat="1" applyFont="1" applyFill="1" applyBorder="1" applyAlignment="1">
      <alignment horizontal="center" vertical="center" wrapText="1"/>
    </xf>
    <xf numFmtId="10" fontId="2" fillId="33" borderId="10" xfId="75" applyNumberFormat="1" applyFont="1" applyFill="1" applyBorder="1" applyAlignment="1">
      <alignment horizontal="center" vertical="center"/>
    </xf>
    <xf numFmtId="10" fontId="2" fillId="33" borderId="10" xfId="0" applyNumberFormat="1" applyFont="1" applyFill="1" applyBorder="1" applyAlignment="1">
      <alignment horizontal="center" vertical="center"/>
    </xf>
    <xf numFmtId="14" fontId="2" fillId="33" borderId="22" xfId="0" applyNumberFormat="1" applyFont="1" applyFill="1" applyBorder="1" applyAlignment="1">
      <alignment horizontal="left" vertical="top" wrapText="1"/>
    </xf>
    <xf numFmtId="4" fontId="2" fillId="33" borderId="10" xfId="68" applyNumberFormat="1" applyFont="1" applyFill="1" applyBorder="1" applyAlignment="1">
      <alignment horizontal="center" vertical="center" wrapText="1"/>
      <protection/>
    </xf>
    <xf numFmtId="1" fontId="2" fillId="33" borderId="10" xfId="68" applyNumberFormat="1" applyFont="1" applyFill="1" applyBorder="1" applyAlignment="1">
      <alignment horizontal="center" vertical="center"/>
      <protection/>
    </xf>
    <xf numFmtId="3" fontId="2" fillId="33" borderId="10" xfId="42" applyNumberFormat="1" applyFont="1" applyFill="1" applyBorder="1" applyAlignment="1" applyProtection="1">
      <alignment horizontal="center" vertical="center" wrapText="1"/>
      <protection/>
    </xf>
    <xf numFmtId="49" fontId="2" fillId="0" borderId="22" xfId="0" applyNumberFormat="1" applyFont="1" applyFill="1" applyBorder="1" applyAlignment="1">
      <alignment horizontal="left" vertical="top" wrapText="1"/>
    </xf>
    <xf numFmtId="14" fontId="2" fillId="0" borderId="22" xfId="68" applyNumberFormat="1" applyFont="1" applyFill="1" applyBorder="1" applyAlignment="1">
      <alignment horizontal="left" vertical="top" wrapText="1"/>
      <protection/>
    </xf>
    <xf numFmtId="10" fontId="2" fillId="33" borderId="10" xfId="77" applyNumberFormat="1" applyFont="1" applyFill="1" applyBorder="1" applyAlignment="1">
      <alignment horizontal="center" vertical="center"/>
    </xf>
    <xf numFmtId="0" fontId="2" fillId="33" borderId="10" xfId="77" applyFont="1" applyFill="1" applyBorder="1" applyAlignment="1">
      <alignment horizontal="center" vertical="center" wrapText="1"/>
    </xf>
    <xf numFmtId="4" fontId="2" fillId="0" borderId="22" xfId="65" applyNumberFormat="1" applyFont="1" applyFill="1" applyBorder="1" applyAlignment="1">
      <alignment horizontal="left" vertical="top" wrapText="1"/>
      <protection/>
    </xf>
    <xf numFmtId="0" fontId="2" fillId="33" borderId="10" xfId="52" applyFont="1" applyFill="1" applyBorder="1" applyAlignment="1" applyProtection="1">
      <alignment horizontal="left" wrapText="1"/>
      <protection locked="0"/>
    </xf>
    <xf numFmtId="14" fontId="2" fillId="0" borderId="22" xfId="0" applyNumberFormat="1" applyFont="1" applyFill="1" applyBorder="1" applyAlignment="1">
      <alignment horizontal="left" vertical="top" wrapText="1"/>
    </xf>
    <xf numFmtId="0" fontId="2" fillId="33" borderId="10" xfId="52" applyFont="1" applyFill="1" applyBorder="1" applyAlignment="1" applyProtection="1">
      <alignment horizontal="left" vertical="top" wrapText="1"/>
      <protection locked="0"/>
    </xf>
    <xf numFmtId="0" fontId="2" fillId="33" borderId="10" xfId="52" applyFont="1" applyFill="1" applyBorder="1" applyAlignment="1" applyProtection="1">
      <alignment horizontal="left" vertical="center" wrapText="1"/>
      <protection locked="0"/>
    </xf>
    <xf numFmtId="14" fontId="2" fillId="33" borderId="22" xfId="68" applyNumberFormat="1" applyFont="1" applyFill="1" applyBorder="1" applyAlignment="1">
      <alignment horizontal="left" vertical="center" wrapText="1"/>
      <protection/>
    </xf>
    <xf numFmtId="0" fontId="2" fillId="33" borderId="10" xfId="68" applyFont="1" applyFill="1" applyBorder="1" applyAlignment="1">
      <alignment horizontal="center" vertical="center"/>
      <protection/>
    </xf>
    <xf numFmtId="10" fontId="2" fillId="33" borderId="10" xfId="76" applyNumberFormat="1" applyFont="1" applyFill="1" applyBorder="1" applyAlignment="1">
      <alignment horizontal="center" vertical="center" wrapText="1"/>
    </xf>
    <xf numFmtId="10" fontId="2" fillId="0" borderId="10" xfId="77" applyNumberFormat="1" applyFont="1" applyFill="1" applyBorder="1" applyAlignment="1">
      <alignment horizontal="center" vertical="center"/>
    </xf>
    <xf numFmtId="3" fontId="2" fillId="0" borderId="10" xfId="77" applyNumberFormat="1" applyFont="1" applyFill="1" applyBorder="1" applyAlignment="1">
      <alignment horizontal="center" vertical="center" wrapText="1"/>
    </xf>
    <xf numFmtId="49" fontId="2" fillId="33" borderId="22" xfId="68" applyNumberFormat="1" applyFont="1" applyFill="1" applyBorder="1" applyAlignment="1">
      <alignment horizontal="left" vertical="top" wrapText="1"/>
      <protection/>
    </xf>
    <xf numFmtId="0" fontId="2" fillId="33" borderId="10" xfId="68" applyNumberFormat="1" applyFont="1" applyFill="1" applyBorder="1" applyAlignment="1">
      <alignment horizontal="center" vertical="center" wrapText="1"/>
      <protection/>
    </xf>
    <xf numFmtId="49" fontId="2" fillId="0" borderId="10" xfId="68" applyNumberFormat="1" applyFont="1" applyFill="1" applyBorder="1" applyAlignment="1">
      <alignment horizontal="center" vertical="center"/>
      <protection/>
    </xf>
    <xf numFmtId="0" fontId="2" fillId="0" borderId="10" xfId="68" applyFont="1" applyFill="1" applyBorder="1" applyAlignment="1">
      <alignment horizontal="center" vertical="center" wrapText="1"/>
      <protection/>
    </xf>
    <xf numFmtId="1" fontId="2" fillId="0" borderId="10" xfId="68" applyNumberFormat="1" applyFont="1" applyFill="1" applyBorder="1" applyAlignment="1">
      <alignment horizontal="center" vertical="center" wrapText="1"/>
      <protection/>
    </xf>
    <xf numFmtId="4" fontId="2" fillId="0" borderId="10" xfId="50" applyNumberFormat="1" applyFont="1" applyFill="1" applyBorder="1" applyAlignment="1">
      <alignment horizontal="center" vertical="center" wrapText="1"/>
      <protection/>
    </xf>
    <xf numFmtId="10" fontId="2" fillId="0" borderId="10" xfId="76" applyNumberFormat="1" applyFont="1" applyFill="1" applyBorder="1" applyAlignment="1">
      <alignment horizontal="center" vertical="center"/>
    </xf>
    <xf numFmtId="3" fontId="2" fillId="0" borderId="10" xfId="68" applyNumberFormat="1" applyFont="1" applyFill="1" applyBorder="1" applyAlignment="1">
      <alignment horizontal="center" vertical="center" wrapText="1"/>
      <protection/>
    </xf>
    <xf numFmtId="49" fontId="2" fillId="0" borderId="10" xfId="68" applyNumberFormat="1" applyFont="1" applyFill="1" applyBorder="1" applyAlignment="1">
      <alignment horizontal="center" vertical="center" wrapText="1"/>
      <protection/>
    </xf>
    <xf numFmtId="3" fontId="2" fillId="0" borderId="10" xfId="44" applyNumberFormat="1" applyFont="1" applyFill="1" applyBorder="1" applyAlignment="1" applyProtection="1">
      <alignment horizontal="center" vertical="center" wrapText="1"/>
      <protection/>
    </xf>
    <xf numFmtId="10" fontId="2" fillId="0" borderId="10" xfId="75" applyNumberFormat="1" applyFont="1" applyFill="1" applyBorder="1" applyAlignment="1" applyProtection="1">
      <alignment horizontal="center" vertical="center"/>
      <protection/>
    </xf>
    <xf numFmtId="10" fontId="2" fillId="33" borderId="10" xfId="0" applyNumberFormat="1" applyFont="1" applyFill="1" applyBorder="1" applyAlignment="1">
      <alignment horizontal="center" vertical="center" wrapText="1"/>
    </xf>
    <xf numFmtId="1" fontId="2" fillId="33" borderId="10" xfId="72" applyNumberFormat="1" applyFont="1" applyFill="1" applyBorder="1" applyAlignment="1">
      <alignment horizontal="center" vertical="center" wrapText="1"/>
      <protection/>
    </xf>
    <xf numFmtId="0" fontId="2" fillId="0" borderId="22" xfId="0" applyFont="1" applyFill="1" applyBorder="1" applyAlignment="1">
      <alignment horizontal="left" vertical="top" wrapText="1"/>
    </xf>
    <xf numFmtId="175" fontId="2" fillId="33" borderId="10" xfId="68" applyNumberFormat="1" applyFont="1" applyFill="1" applyBorder="1" applyAlignment="1">
      <alignment horizontal="center" vertical="center" wrapText="1"/>
      <protection/>
    </xf>
    <xf numFmtId="10" fontId="2" fillId="0" borderId="10" xfId="68" applyNumberFormat="1" applyFont="1" applyFill="1" applyBorder="1" applyAlignment="1">
      <alignment horizontal="center" vertical="center" wrapText="1"/>
      <protection/>
    </xf>
    <xf numFmtId="0" fontId="72" fillId="33" borderId="17" xfId="68" applyFont="1" applyFill="1" applyBorder="1" applyAlignment="1">
      <alignment horizontal="center" vertical="center"/>
      <protection/>
    </xf>
    <xf numFmtId="49" fontId="2" fillId="33" borderId="18" xfId="68" applyNumberFormat="1" applyFont="1" applyFill="1" applyBorder="1" applyAlignment="1">
      <alignment horizontal="center" vertical="center"/>
      <protection/>
    </xf>
    <xf numFmtId="0" fontId="2" fillId="33" borderId="18" xfId="68" applyFont="1" applyFill="1" applyBorder="1" applyAlignment="1">
      <alignment horizontal="center" vertical="center" wrapText="1"/>
      <protection/>
    </xf>
    <xf numFmtId="1" fontId="2" fillId="33" borderId="18" xfId="68" applyNumberFormat="1" applyFont="1" applyFill="1" applyBorder="1" applyAlignment="1">
      <alignment horizontal="center" vertical="center" wrapText="1"/>
      <protection/>
    </xf>
    <xf numFmtId="4" fontId="2" fillId="33" borderId="18" xfId="50" applyNumberFormat="1" applyFont="1" applyFill="1" applyBorder="1" applyAlignment="1">
      <alignment horizontal="center" vertical="center" wrapText="1"/>
      <protection/>
    </xf>
    <xf numFmtId="10" fontId="2" fillId="33" borderId="18" xfId="76" applyNumberFormat="1" applyFont="1" applyFill="1" applyBorder="1" applyAlignment="1">
      <alignment horizontal="center" vertical="center"/>
    </xf>
    <xf numFmtId="10" fontId="2" fillId="33" borderId="18" xfId="68" applyNumberFormat="1" applyFont="1" applyFill="1" applyBorder="1" applyAlignment="1">
      <alignment horizontal="center" vertical="center"/>
      <protection/>
    </xf>
    <xf numFmtId="3" fontId="2" fillId="33" borderId="18" xfId="68" applyNumberFormat="1" applyFont="1" applyFill="1" applyBorder="1" applyAlignment="1">
      <alignment horizontal="center" vertical="center"/>
      <protection/>
    </xf>
    <xf numFmtId="49" fontId="2" fillId="33" borderId="18" xfId="68" applyNumberFormat="1" applyFont="1" applyFill="1" applyBorder="1" applyAlignment="1">
      <alignment horizontal="center" vertical="center" wrapText="1"/>
      <protection/>
    </xf>
    <xf numFmtId="3" fontId="2" fillId="33" borderId="18" xfId="68" applyNumberFormat="1" applyFont="1" applyFill="1" applyBorder="1" applyAlignment="1">
      <alignment horizontal="center" vertical="center" wrapText="1"/>
      <protection/>
    </xf>
    <xf numFmtId="14" fontId="2" fillId="33" borderId="39" xfId="68" applyNumberFormat="1" applyFont="1" applyFill="1" applyBorder="1" applyAlignment="1">
      <alignment horizontal="left" vertical="top" wrapText="1"/>
      <protection/>
    </xf>
    <xf numFmtId="0" fontId="72" fillId="33" borderId="46" xfId="68" applyFont="1" applyFill="1" applyBorder="1">
      <alignment/>
      <protection/>
    </xf>
    <xf numFmtId="0" fontId="72" fillId="33" borderId="34" xfId="68" applyFont="1" applyFill="1" applyBorder="1">
      <alignment/>
      <protection/>
    </xf>
    <xf numFmtId="0" fontId="75" fillId="33" borderId="34" xfId="68" applyFont="1" applyFill="1" applyBorder="1" applyAlignment="1">
      <alignment horizontal="center"/>
      <protection/>
    </xf>
    <xf numFmtId="3" fontId="75" fillId="33" borderId="34" xfId="68" applyNumberFormat="1" applyFont="1" applyFill="1" applyBorder="1" applyAlignment="1">
      <alignment horizontal="center"/>
      <protection/>
    </xf>
    <xf numFmtId="0" fontId="72" fillId="33" borderId="40" xfId="68" applyFont="1" applyFill="1" applyBorder="1" applyAlignment="1">
      <alignment vertical="top"/>
      <protection/>
    </xf>
    <xf numFmtId="0" fontId="72" fillId="33" borderId="0" xfId="68" applyFont="1" applyFill="1" applyAlignment="1">
      <alignment vertical="top"/>
      <protection/>
    </xf>
    <xf numFmtId="3" fontId="76" fillId="33" borderId="0" xfId="68" applyNumberFormat="1" applyFont="1" applyFill="1">
      <alignment/>
      <protection/>
    </xf>
    <xf numFmtId="3" fontId="72" fillId="33" borderId="0" xfId="68" applyNumberFormat="1" applyFont="1" applyFill="1">
      <alignment/>
      <protection/>
    </xf>
    <xf numFmtId="0" fontId="2" fillId="33" borderId="22" xfId="68" applyFont="1" applyFill="1" applyBorder="1" applyAlignment="1">
      <alignment horizontal="left" vertical="top" wrapText="1"/>
      <protection/>
    </xf>
    <xf numFmtId="49" fontId="2" fillId="33" borderId="0" xfId="0" applyNumberFormat="1" applyFont="1" applyFill="1" applyBorder="1" applyAlignment="1">
      <alignment horizontal="left" vertical="center" wrapText="1"/>
    </xf>
    <xf numFmtId="49" fontId="2" fillId="33" borderId="0" xfId="0" applyNumberFormat="1" applyFont="1" applyFill="1" applyBorder="1" applyAlignment="1">
      <alignment vertical="center" wrapText="1"/>
    </xf>
    <xf numFmtId="1" fontId="5" fillId="33" borderId="47" xfId="0" applyNumberFormat="1" applyFont="1" applyFill="1" applyBorder="1" applyAlignment="1">
      <alignment horizontal="center" vertical="top" wrapText="1"/>
    </xf>
    <xf numFmtId="49" fontId="5" fillId="33" borderId="22" xfId="0" applyNumberFormat="1" applyFont="1" applyFill="1" applyBorder="1" applyAlignment="1">
      <alignment horizontal="center" vertical="center" wrapText="1"/>
    </xf>
    <xf numFmtId="0" fontId="15" fillId="33" borderId="0" xfId="0" applyFont="1" applyFill="1" applyAlignment="1">
      <alignment/>
    </xf>
    <xf numFmtId="0" fontId="77" fillId="0" borderId="0" xfId="68" applyFont="1" applyAlignment="1">
      <alignment vertical="top"/>
      <protection/>
    </xf>
    <xf numFmtId="49" fontId="5" fillId="33" borderId="43" xfId="68" applyNumberFormat="1" applyFont="1" applyFill="1" applyBorder="1" applyAlignment="1">
      <alignment horizontal="center" vertical="top" wrapText="1"/>
      <protection/>
    </xf>
    <xf numFmtId="0" fontId="2" fillId="33" borderId="10" xfId="68" applyFont="1" applyFill="1" applyBorder="1" applyAlignment="1">
      <alignment horizontal="left" vertical="top" wrapText="1"/>
      <protection/>
    </xf>
    <xf numFmtId="2" fontId="2" fillId="33" borderId="10" xfId="77" applyNumberFormat="1" applyFont="1" applyFill="1" applyBorder="1" applyAlignment="1">
      <alignment horizontal="left" vertical="top" wrapText="1"/>
    </xf>
    <xf numFmtId="0" fontId="2" fillId="33" borderId="10" xfId="68" applyNumberFormat="1" applyFont="1" applyFill="1" applyBorder="1" applyAlignment="1">
      <alignment horizontal="left" vertical="top" wrapText="1"/>
      <protection/>
    </xf>
    <xf numFmtId="49" fontId="2" fillId="33" borderId="10" xfId="51" applyNumberFormat="1" applyFont="1" applyFill="1" applyBorder="1" applyAlignment="1">
      <alignment horizontal="left" vertical="top" wrapText="1"/>
      <protection/>
    </xf>
    <xf numFmtId="0" fontId="2" fillId="33" borderId="10" xfId="0" applyFont="1" applyFill="1" applyBorder="1" applyAlignment="1">
      <alignment horizontal="left" vertical="top" wrapText="1"/>
    </xf>
    <xf numFmtId="4" fontId="2" fillId="33" borderId="10" xfId="68" applyNumberFormat="1" applyFont="1" applyFill="1" applyBorder="1" applyAlignment="1">
      <alignment horizontal="left" vertical="top" wrapText="1"/>
      <protection/>
    </xf>
    <xf numFmtId="0" fontId="2" fillId="0" borderId="10" xfId="68" applyFont="1" applyFill="1" applyBorder="1" applyAlignment="1">
      <alignment horizontal="left" vertical="top" wrapText="1"/>
      <protection/>
    </xf>
    <xf numFmtId="0" fontId="2" fillId="33" borderId="18" xfId="68" applyFont="1" applyFill="1" applyBorder="1" applyAlignment="1">
      <alignment horizontal="left" vertical="top" wrapText="1"/>
      <protection/>
    </xf>
    <xf numFmtId="0" fontId="72" fillId="33" borderId="34" xfId="68" applyFont="1" applyFill="1" applyBorder="1" applyAlignment="1">
      <alignment vertical="top"/>
      <protection/>
    </xf>
    <xf numFmtId="0" fontId="12" fillId="33" borderId="0" xfId="0" applyFont="1" applyFill="1" applyBorder="1" applyAlignment="1">
      <alignment horizontal="center"/>
    </xf>
    <xf numFmtId="0" fontId="12" fillId="2" borderId="0" xfId="0" applyFont="1" applyFill="1" applyBorder="1" applyAlignment="1">
      <alignment horizontal="center"/>
    </xf>
    <xf numFmtId="0" fontId="12" fillId="0" borderId="0" xfId="0" applyFont="1" applyFill="1" applyBorder="1" applyAlignment="1">
      <alignment horizontal="center"/>
    </xf>
    <xf numFmtId="0" fontId="5" fillId="33" borderId="27" xfId="0" applyFont="1" applyFill="1" applyBorder="1" applyAlignment="1">
      <alignment horizontal="center" vertical="center" wrapText="1"/>
    </xf>
    <xf numFmtId="0" fontId="5" fillId="33" borderId="21" xfId="0" applyFont="1" applyFill="1" applyBorder="1" applyAlignment="1">
      <alignment horizontal="center" vertical="center" wrapText="1"/>
    </xf>
    <xf numFmtId="49" fontId="5" fillId="33" borderId="35" xfId="0" applyNumberFormat="1" applyFont="1" applyFill="1" applyBorder="1" applyAlignment="1">
      <alignment horizontal="left" vertical="center" wrapText="1"/>
    </xf>
    <xf numFmtId="49" fontId="5" fillId="33" borderId="10" xfId="0" applyNumberFormat="1" applyFont="1" applyFill="1" applyBorder="1" applyAlignment="1">
      <alignment horizontal="left" vertical="center" wrapText="1"/>
    </xf>
    <xf numFmtId="0" fontId="5" fillId="33" borderId="35" xfId="0" applyFont="1" applyFill="1" applyBorder="1" applyAlignment="1">
      <alignment horizontal="center" vertical="center" wrapText="1"/>
    </xf>
    <xf numFmtId="0" fontId="5" fillId="33" borderId="10" xfId="0" applyFont="1" applyFill="1" applyBorder="1" applyAlignment="1">
      <alignment horizontal="center" vertical="center" wrapText="1"/>
    </xf>
    <xf numFmtId="3" fontId="5" fillId="33" borderId="38" xfId="0" applyNumberFormat="1" applyFont="1" applyFill="1" applyBorder="1" applyAlignment="1">
      <alignment horizontal="center" vertical="center" wrapText="1"/>
    </xf>
    <xf numFmtId="3" fontId="5" fillId="33" borderId="20" xfId="0" applyNumberFormat="1" applyFont="1" applyFill="1" applyBorder="1" applyAlignment="1">
      <alignment horizontal="center" vertical="center" wrapText="1"/>
    </xf>
    <xf numFmtId="10" fontId="5" fillId="33" borderId="35" xfId="0" applyNumberFormat="1" applyFont="1" applyFill="1" applyBorder="1" applyAlignment="1">
      <alignment horizontal="center" vertical="center" wrapText="1"/>
    </xf>
    <xf numFmtId="10" fontId="5" fillId="33" borderId="10" xfId="0" applyNumberFormat="1" applyFont="1" applyFill="1" applyBorder="1" applyAlignment="1">
      <alignment horizontal="center" vertical="center" wrapText="1"/>
    </xf>
    <xf numFmtId="3" fontId="5" fillId="33" borderId="35" xfId="0" applyNumberFormat="1" applyFont="1" applyFill="1" applyBorder="1" applyAlignment="1">
      <alignment horizontal="center" vertical="center" wrapText="1"/>
    </xf>
    <xf numFmtId="3" fontId="5" fillId="33" borderId="10" xfId="0" applyNumberFormat="1" applyFont="1" applyFill="1" applyBorder="1" applyAlignment="1">
      <alignment horizontal="center" vertical="center" wrapText="1"/>
    </xf>
    <xf numFmtId="3" fontId="5" fillId="33" borderId="48" xfId="0" applyNumberFormat="1" applyFont="1" applyFill="1" applyBorder="1" applyAlignment="1">
      <alignment horizontal="center" vertical="center" wrapText="1"/>
    </xf>
    <xf numFmtId="3" fontId="5" fillId="33" borderId="43" xfId="0" applyNumberFormat="1" applyFont="1" applyFill="1" applyBorder="1" applyAlignment="1">
      <alignment horizontal="center" vertical="center" wrapText="1"/>
    </xf>
    <xf numFmtId="0" fontId="2" fillId="0" borderId="0" xfId="65" applyFont="1" applyFill="1" applyAlignment="1">
      <alignment horizontal="left" vertical="center" wrapText="1"/>
      <protection/>
    </xf>
    <xf numFmtId="0" fontId="2" fillId="0" borderId="0" xfId="0" applyFont="1" applyFill="1" applyAlignment="1">
      <alignment horizontal="left" vertical="center" wrapText="1"/>
    </xf>
    <xf numFmtId="4" fontId="5" fillId="33" borderId="35" xfId="0" applyNumberFormat="1" applyFont="1" applyFill="1" applyBorder="1" applyAlignment="1">
      <alignment horizontal="center" vertical="center" wrapText="1"/>
    </xf>
    <xf numFmtId="4" fontId="5" fillId="33" borderId="10" xfId="0" applyNumberFormat="1" applyFont="1" applyFill="1" applyBorder="1" applyAlignment="1">
      <alignment horizontal="center" vertical="center" wrapText="1"/>
    </xf>
    <xf numFmtId="0" fontId="7" fillId="33" borderId="11" xfId="0" applyFont="1" applyFill="1" applyBorder="1" applyAlignment="1">
      <alignment horizontal="center"/>
    </xf>
    <xf numFmtId="0" fontId="7" fillId="33" borderId="37" xfId="0" applyFont="1" applyFill="1" applyBorder="1" applyAlignment="1">
      <alignment horizontal="center"/>
    </xf>
    <xf numFmtId="0" fontId="7" fillId="33" borderId="29" xfId="0" applyFont="1" applyFill="1" applyBorder="1" applyAlignment="1">
      <alignment horizontal="center"/>
    </xf>
    <xf numFmtId="49" fontId="5" fillId="33" borderId="46" xfId="0" applyNumberFormat="1" applyFont="1" applyFill="1" applyBorder="1" applyAlignment="1">
      <alignment horizontal="center" vertical="center" wrapText="1"/>
    </xf>
    <xf numFmtId="49" fontId="5" fillId="33" borderId="34" xfId="0" applyNumberFormat="1" applyFont="1" applyFill="1" applyBorder="1" applyAlignment="1">
      <alignment horizontal="center" vertical="center" wrapText="1"/>
    </xf>
    <xf numFmtId="3" fontId="8" fillId="33" borderId="0" xfId="0" applyNumberFormat="1" applyFont="1" applyFill="1" applyAlignment="1">
      <alignment horizontal="center"/>
    </xf>
    <xf numFmtId="4" fontId="8" fillId="33" borderId="0" xfId="0" applyNumberFormat="1" applyFont="1" applyFill="1" applyAlignment="1">
      <alignment horizontal="center" wrapText="1"/>
    </xf>
    <xf numFmtId="0" fontId="5" fillId="33" borderId="48" xfId="0" applyFont="1" applyFill="1" applyBorder="1" applyAlignment="1">
      <alignment horizontal="center" vertical="center" wrapText="1"/>
    </xf>
    <xf numFmtId="0" fontId="5" fillId="33" borderId="43" xfId="0" applyFont="1" applyFill="1" applyBorder="1" applyAlignment="1">
      <alignment horizontal="center" vertical="center" wrapText="1"/>
    </xf>
    <xf numFmtId="1" fontId="5" fillId="33" borderId="35" xfId="0" applyNumberFormat="1" applyFont="1" applyFill="1" applyBorder="1" applyAlignment="1">
      <alignment horizontal="center" vertical="center" wrapText="1"/>
    </xf>
    <xf numFmtId="1" fontId="5" fillId="33" borderId="10" xfId="0" applyNumberFormat="1" applyFont="1" applyFill="1" applyBorder="1" applyAlignment="1">
      <alignment horizontal="center" vertical="center" wrapText="1"/>
    </xf>
    <xf numFmtId="0" fontId="2" fillId="33" borderId="0" xfId="0" applyFont="1" applyFill="1" applyAlignment="1">
      <alignment horizontal="left" vertical="top" wrapText="1"/>
    </xf>
    <xf numFmtId="49" fontId="5" fillId="33" borderId="0" xfId="0" applyNumberFormat="1" applyFont="1" applyFill="1" applyBorder="1" applyAlignment="1">
      <alignment horizontal="center" wrapText="1"/>
    </xf>
    <xf numFmtId="49" fontId="5" fillId="33" borderId="49" xfId="0" applyNumberFormat="1" applyFont="1" applyFill="1" applyBorder="1" applyAlignment="1">
      <alignment horizontal="center" wrapText="1"/>
    </xf>
    <xf numFmtId="3" fontId="5" fillId="33" borderId="38" xfId="68" applyNumberFormat="1" applyFont="1" applyFill="1" applyBorder="1" applyAlignment="1">
      <alignment horizontal="center" vertical="center" wrapText="1"/>
      <protection/>
    </xf>
    <xf numFmtId="3" fontId="5" fillId="33" borderId="20" xfId="68" applyNumberFormat="1" applyFont="1" applyFill="1" applyBorder="1" applyAlignment="1">
      <alignment horizontal="center" vertical="center" wrapText="1"/>
      <protection/>
    </xf>
    <xf numFmtId="0" fontId="5" fillId="33" borderId="27" xfId="68" applyFont="1" applyFill="1" applyBorder="1" applyAlignment="1">
      <alignment horizontal="center" vertical="center" wrapText="1"/>
      <protection/>
    </xf>
    <xf numFmtId="0" fontId="5" fillId="33" borderId="17" xfId="68" applyFont="1" applyFill="1" applyBorder="1" applyAlignment="1">
      <alignment horizontal="center" vertical="center" wrapText="1"/>
      <protection/>
    </xf>
    <xf numFmtId="49" fontId="5" fillId="33" borderId="35" xfId="68" applyNumberFormat="1" applyFont="1" applyFill="1" applyBorder="1" applyAlignment="1">
      <alignment horizontal="center" vertical="center" wrapText="1"/>
      <protection/>
    </xf>
    <xf numFmtId="49" fontId="5" fillId="33" borderId="18" xfId="68" applyNumberFormat="1" applyFont="1" applyFill="1" applyBorder="1" applyAlignment="1">
      <alignment horizontal="center" vertical="center" wrapText="1"/>
      <protection/>
    </xf>
    <xf numFmtId="0" fontId="5" fillId="33" borderId="35" xfId="68" applyFont="1" applyFill="1" applyBorder="1" applyAlignment="1">
      <alignment horizontal="center" vertical="center" wrapText="1"/>
      <protection/>
    </xf>
    <xf numFmtId="0" fontId="5" fillId="33" borderId="18" xfId="68" applyFont="1" applyFill="1" applyBorder="1" applyAlignment="1">
      <alignment horizontal="center" vertical="center" wrapText="1"/>
      <protection/>
    </xf>
    <xf numFmtId="0" fontId="5" fillId="33" borderId="48" xfId="68" applyFont="1" applyFill="1" applyBorder="1" applyAlignment="1">
      <alignment horizontal="center" vertical="center" wrapText="1"/>
      <protection/>
    </xf>
    <xf numFmtId="0" fontId="5" fillId="33" borderId="34" xfId="68" applyFont="1" applyFill="1" applyBorder="1" applyAlignment="1">
      <alignment horizontal="center" vertical="center" wrapText="1"/>
      <protection/>
    </xf>
    <xf numFmtId="1" fontId="5" fillId="33" borderId="35" xfId="68" applyNumberFormat="1" applyFont="1" applyFill="1" applyBorder="1" applyAlignment="1">
      <alignment horizontal="center" vertical="center" wrapText="1"/>
      <protection/>
    </xf>
    <xf numFmtId="1" fontId="5" fillId="33" borderId="18" xfId="68" applyNumberFormat="1" applyFont="1" applyFill="1" applyBorder="1" applyAlignment="1">
      <alignment horizontal="center" vertical="center" wrapText="1"/>
      <protection/>
    </xf>
    <xf numFmtId="4" fontId="5" fillId="33" borderId="35" xfId="68" applyNumberFormat="1" applyFont="1" applyFill="1" applyBorder="1" applyAlignment="1">
      <alignment horizontal="center" vertical="center" wrapText="1"/>
      <protection/>
    </xf>
    <xf numFmtId="4" fontId="5" fillId="33" borderId="18" xfId="68" applyNumberFormat="1" applyFont="1" applyFill="1" applyBorder="1" applyAlignment="1">
      <alignment horizontal="center" vertical="center" wrapText="1"/>
      <protection/>
    </xf>
    <xf numFmtId="10" fontId="5" fillId="33" borderId="35" xfId="68" applyNumberFormat="1" applyFont="1" applyFill="1" applyBorder="1" applyAlignment="1">
      <alignment horizontal="center" vertical="center" wrapText="1"/>
      <protection/>
    </xf>
    <xf numFmtId="10" fontId="5" fillId="33" borderId="18" xfId="68" applyNumberFormat="1" applyFont="1" applyFill="1" applyBorder="1" applyAlignment="1">
      <alignment horizontal="center" vertical="center" wrapText="1"/>
      <protection/>
    </xf>
    <xf numFmtId="3" fontId="5" fillId="0" borderId="35" xfId="68" applyNumberFormat="1" applyFont="1" applyFill="1" applyBorder="1" applyAlignment="1">
      <alignment horizontal="center" vertical="center" wrapText="1"/>
      <protection/>
    </xf>
    <xf numFmtId="3" fontId="5" fillId="0" borderId="18" xfId="68" applyNumberFormat="1" applyFont="1" applyFill="1" applyBorder="1" applyAlignment="1">
      <alignment horizontal="center" vertical="center" wrapText="1"/>
      <protection/>
    </xf>
    <xf numFmtId="3" fontId="5" fillId="0" borderId="48" xfId="68" applyNumberFormat="1" applyFont="1" applyFill="1" applyBorder="1" applyAlignment="1">
      <alignment horizontal="center" vertical="center" wrapText="1"/>
      <protection/>
    </xf>
    <xf numFmtId="3" fontId="5" fillId="0" borderId="34" xfId="68" applyNumberFormat="1" applyFont="1" applyFill="1" applyBorder="1" applyAlignment="1">
      <alignment horizontal="center" vertical="center" wrapText="1"/>
      <protection/>
    </xf>
    <xf numFmtId="3" fontId="5" fillId="33" borderId="35" xfId="68" applyNumberFormat="1" applyFont="1" applyFill="1" applyBorder="1" applyAlignment="1">
      <alignment horizontal="center" vertical="center" wrapText="1"/>
      <protection/>
    </xf>
    <xf numFmtId="3" fontId="5" fillId="33" borderId="18" xfId="68" applyNumberFormat="1" applyFont="1" applyFill="1" applyBorder="1" applyAlignment="1">
      <alignment horizontal="center" vertical="center" wrapText="1"/>
      <protection/>
    </xf>
    <xf numFmtId="0" fontId="2" fillId="33" borderId="22" xfId="0" applyNumberFormat="1" applyFont="1" applyFill="1" applyBorder="1" applyAlignment="1">
      <alignment vertical="top" wrapText="1"/>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cel Built-in Excel Built-in Excel Built-in Excel Built-in Excel Built-in Excel Built-in Excel Bui" xfId="47"/>
    <cellStyle name="Excel Built-in Excel Built-in Excel Built-in Excel Built-in Excel Built-in Excel Built-in Excel Built-in Excel " xfId="48"/>
    <cellStyle name="Excel Built-in Excel Built-in Excel Built-in Excel Built-in Excel Built-in Excel Built-in Excel Built-in Excel Bui" xfId="49"/>
    <cellStyle name="Excel Built-in Excel Built-in Excel Built-in Excel Built-in Excel Built-in Excel Built-in Excel Built-in Excel Buil" xfId="50"/>
    <cellStyle name="Excel Built-in Excel Built-in Excel Built-in Excel Built-in Excel Built-in Excel Built-in Excel Built-in Excel Built-in Excel Built-in Excel Built-in Excel Built-in Excel Built-in Excel Bui" xfId="51"/>
    <cellStyle name="Excel Built-in Excel Built-in Excel Built-in Excel Built-in Excel Built-in Excel Built-in Excel Built-in Excel Built-in Excel Built-in Excel Built-in Excel Built-in Excel Built-in Excel Built-in Excel Built-in Excel Built-in Excel Built-in Excel"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10" xfId="64"/>
    <cellStyle name="Normal 2" xfId="65"/>
    <cellStyle name="Normal 2 2" xfId="66"/>
    <cellStyle name="Normal 3" xfId="67"/>
    <cellStyle name="Normal 4" xfId="68"/>
    <cellStyle name="Normal 8" xfId="69"/>
    <cellStyle name="Normal_Datorii la 31 12 2011_Formular 29 - PARTEA II (sept)" xfId="70"/>
    <cellStyle name="Normal_Formular 29-partea II (inv)-diminuat" xfId="71"/>
    <cellStyle name="Normal_Formular 29-partea II (inv)-diminuat 3" xfId="72"/>
    <cellStyle name="Note" xfId="73"/>
    <cellStyle name="Output" xfId="74"/>
    <cellStyle name="Percent" xfId="75"/>
    <cellStyle name="Percent 2" xfId="76"/>
    <cellStyle name="TableStyleLight1" xfId="77"/>
    <cellStyle name="TableStyleLight1 2" xfId="78"/>
    <cellStyle name="Title" xfId="79"/>
    <cellStyle name="Total" xfId="80"/>
    <cellStyle name="Warning Text"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Distribuția procentuală a valorii actualizate a proiectelor de investiții pe ordonatorii principali de credite</a:t>
            </a:r>
          </a:p>
        </c:rich>
      </c:tx>
      <c:layout/>
      <c:spPr>
        <a:noFill/>
        <a:ln>
          <a:noFill/>
        </a:ln>
      </c:spPr>
    </c:title>
    <c:view3D>
      <c:rotX val="30"/>
      <c:hPercent val="100"/>
      <c:rotY val="0"/>
      <c:depthPercent val="100"/>
      <c:rAngAx val="1"/>
    </c:view3D>
    <c:plotArea>
      <c:layout/>
      <c:pie3DChart>
        <c:varyColors val="0"/>
        <c:ser>
          <c:idx val="0"/>
          <c:order val="0"/>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333333"/>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333333"/>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333333"/>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333333"/>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333333"/>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333333"/>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333333"/>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333333"/>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333333"/>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333333"/>
                    </a:solidFill>
                  </a:defRPr>
                </a:pPr>
              </a:p>
            </c:txPr>
            <c:showLegendKey val="0"/>
            <c:showVal val="1"/>
            <c:showBubbleSize val="0"/>
            <c:showCatName val="0"/>
            <c:showSerName val="0"/>
            <c:showLeaderLines val="1"/>
            <c:showPercent val="0"/>
            <c:leaderLines>
              <c:spPr>
                <a:ln w="3175">
                  <a:solidFill>
                    <a:srgbClr val="969696"/>
                  </a:solidFill>
                </a:ln>
              </c:spPr>
            </c:leaderLines>
          </c:dLbls>
          <c:cat>
            <c:strRef>
              <c:f>'anexa memo'!$N$186:$N$193</c:f>
            </c:strRef>
          </c:cat>
          <c:val>
            <c:numRef>
              <c:f>'anexa memo'!$O$186:$O$193</c:f>
            </c:numRef>
          </c:val>
        </c:ser>
      </c:pie3DChart>
      <c:spPr>
        <a:noFill/>
        <a:ln>
          <a:noFill/>
        </a:ln>
      </c:spPr>
    </c:plotArea>
    <c:legend>
      <c:legendPos val="b"/>
      <c:layout/>
      <c:overlay val="0"/>
      <c:spPr>
        <a:noFill/>
        <a:ln w="3175">
          <a:noFill/>
        </a:ln>
      </c:spPr>
      <c:txPr>
        <a:bodyPr vert="horz" rot="0"/>
        <a:lstStyle/>
        <a:p>
          <a:pPr>
            <a:defRPr lang="en-US" cap="none" sz="775" b="0" i="0" u="none" baseline="0">
              <a:solidFill>
                <a:srgbClr val="333333"/>
              </a:solidFill>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Distribuția procentuală a restului de finanțat până la finalizare pe ordonatori principali de credite</a:t>
            </a:r>
          </a:p>
        </c:rich>
      </c:tx>
      <c:layout/>
      <c:spPr>
        <a:noFill/>
        <a:ln>
          <a:noFill/>
        </a:ln>
      </c:spPr>
    </c:title>
    <c:view3D>
      <c:rotX val="30"/>
      <c:hPercent val="100"/>
      <c:rotY val="0"/>
      <c:depthPercent val="100"/>
      <c:rAngAx val="1"/>
    </c:view3D>
    <c:plotArea>
      <c:layout/>
      <c:pie3DChart>
        <c:varyColors val="0"/>
        <c:ser>
          <c:idx val="0"/>
          <c:order val="0"/>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333333"/>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333333"/>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333333"/>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333333"/>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333333"/>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333333"/>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333333"/>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333333"/>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333333"/>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333333"/>
                    </a:solidFill>
                  </a:defRPr>
                </a:pPr>
              </a:p>
            </c:txPr>
            <c:showLegendKey val="0"/>
            <c:showVal val="1"/>
            <c:showBubbleSize val="0"/>
            <c:showCatName val="0"/>
            <c:showSerName val="0"/>
            <c:showLeaderLines val="1"/>
            <c:showPercent val="0"/>
            <c:leaderLines>
              <c:spPr>
                <a:ln w="3175">
                  <a:solidFill>
                    <a:srgbClr val="969696"/>
                  </a:solidFill>
                </a:ln>
              </c:spPr>
            </c:leaderLines>
          </c:dLbls>
          <c:cat>
            <c:strRef>
              <c:f>'anexa memo'!$N$186:$N$193</c:f>
            </c:strRef>
          </c:cat>
          <c:val>
            <c:numRef>
              <c:f>'anexa memo'!$P$186:$P$193</c:f>
            </c:numRef>
          </c:val>
        </c:ser>
      </c:pie3DChart>
      <c:spPr>
        <a:noFill/>
        <a:ln>
          <a:noFill/>
        </a:ln>
      </c:spPr>
    </c:plotArea>
    <c:legend>
      <c:legendPos val="b"/>
      <c:layout/>
      <c:overlay val="0"/>
      <c:spPr>
        <a:noFill/>
        <a:ln w="3175">
          <a:noFill/>
        </a:ln>
      </c:spPr>
      <c:txPr>
        <a:bodyPr vert="horz" rot="0"/>
        <a:lstStyle/>
        <a:p>
          <a:pPr>
            <a:defRPr lang="en-US" cap="none" sz="775" b="0" i="0" u="none" baseline="0">
              <a:solidFill>
                <a:srgbClr val="333333"/>
              </a:solidFill>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333333"/>
                </a:solidFill>
              </a:rPr>
              <a:t>Distribuția proiectelor de investiții publice semnificative cu stadiul fizic de execuție de 0% pe ordonatorii principali de credite</a:t>
            </a:r>
          </a:p>
        </c:rich>
      </c:tx>
      <c:layout/>
      <c:spPr>
        <a:noFill/>
        <a:ln>
          <a:noFill/>
        </a:ln>
      </c:spPr>
    </c:title>
    <c:view3D>
      <c:rotX val="30"/>
      <c:hPercent val="100"/>
      <c:rotY val="0"/>
      <c:depthPercent val="100"/>
      <c:rAngAx val="1"/>
    </c:view3D>
    <c:plotArea>
      <c:layout/>
      <c:pie3DChart>
        <c:varyColors val="0"/>
        <c:ser>
          <c:idx val="0"/>
          <c:order val="0"/>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200" b="0" i="0" u="none" baseline="0">
                    <a:solidFill>
                      <a:srgbClr val="333333"/>
                    </a:solidFill>
                  </a:defRPr>
                </a:pPr>
              </a:p>
            </c:txPr>
            <c:showLegendKey val="0"/>
            <c:showVal val="1"/>
            <c:showBubbleSize val="0"/>
            <c:showCatName val="0"/>
            <c:showSerName val="0"/>
            <c:showLeaderLines val="1"/>
            <c:showPercent val="0"/>
            <c:leaderLines>
              <c:spPr>
                <a:ln w="3175">
                  <a:solidFill>
                    <a:srgbClr val="969696"/>
                  </a:solidFill>
                </a:ln>
              </c:spPr>
            </c:leaderLines>
          </c:dLbls>
          <c:cat>
            <c:strRef>
              <c:f>('anexa memo'!$C$174,'anexa memo'!$C$175,'anexa memo'!$C$177,'anexa memo'!$C$178,'anexa memo'!$C$181)</c:f>
            </c:strRef>
          </c:cat>
          <c:val>
            <c:numRef>
              <c:f>('anexa memo'!$F$174,'anexa memo'!$F$175,'anexa memo'!$F$177,'anexa memo'!$F$178,'anexa memo'!$F$181)</c:f>
            </c:numRef>
          </c:val>
        </c:ser>
      </c:pie3DChart>
      <c:spPr>
        <a:noFill/>
        <a:ln>
          <a:noFill/>
        </a:ln>
      </c:spPr>
    </c:plotArea>
    <c:legend>
      <c:legendPos val="b"/>
      <c:layout/>
      <c:overlay val="0"/>
      <c:spPr>
        <a:noFill/>
        <a:ln w="3175">
          <a:noFill/>
        </a:ln>
      </c:spPr>
      <c:txPr>
        <a:bodyPr vert="horz" rot="0"/>
        <a:lstStyle/>
        <a:p>
          <a:pPr>
            <a:defRPr lang="en-US" cap="none" sz="925" b="0" i="0" u="none" baseline="0">
              <a:solidFill>
                <a:srgbClr val="333333"/>
              </a:solidFill>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Distribuția proiectelor de investiții publice cu un stadiu fizic de 100% pe ordonatorii principali de credite</a:t>
            </a:r>
          </a:p>
        </c:rich>
      </c:tx>
      <c:layout/>
      <c:spPr>
        <a:noFill/>
        <a:ln>
          <a:noFill/>
        </a:ln>
      </c:spPr>
    </c:title>
    <c:view3D>
      <c:rotX val="30"/>
      <c:hPercent val="100"/>
      <c:rotY val="0"/>
      <c:depthPercent val="100"/>
      <c:rAngAx val="1"/>
    </c:view3D>
    <c:plotArea>
      <c:layout/>
      <c:pie3DChart>
        <c:varyColors val="1"/>
        <c:ser>
          <c:idx val="0"/>
          <c:order val="0"/>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25400">
                <a:solidFill>
                  <a:srgbClr val="FFFFFF"/>
                </a:solidFill>
              </a:ln>
            </c:spPr>
          </c:dPt>
          <c:dLbls>
            <c:dLbl>
              <c:idx val="0"/>
              <c:layout>
                <c:manualLayout>
                  <c:x val="0"/>
                  <c:y val="0"/>
                </c:manualLayout>
              </c:layout>
              <c:txPr>
                <a:bodyPr vert="horz" rot="0" anchor="ctr"/>
                <a:lstStyle/>
                <a:p>
                  <a:pPr algn="ctr">
                    <a:defRPr lang="en-US" cap="none" sz="1000" b="0" i="0" u="none" baseline="0">
                      <a:solidFill>
                        <a:srgbClr val="333333"/>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333333"/>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333333"/>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333333"/>
                    </a:solidFill>
                  </a:defRPr>
                </a:pPr>
              </a:p>
            </c:txPr>
            <c:showLegendKey val="0"/>
            <c:showVal val="1"/>
            <c:showBubbleSize val="0"/>
            <c:showCatName val="0"/>
            <c:showSerName val="0"/>
            <c:showLeaderLines val="1"/>
            <c:showPercent val="0"/>
            <c:leaderLines>
              <c:spPr>
                <a:ln w="3175">
                  <a:solidFill>
                    <a:srgbClr val="969696"/>
                  </a:solidFill>
                </a:ln>
              </c:spPr>
            </c:leaderLines>
          </c:dLbls>
          <c:cat>
            <c:numRef>
              <c:f>(#REF!,#REF!,#REF!)</c:f>
              <c:numCache>
                <c:ptCount val="1"/>
                <c:pt idx="0">
                  <c:v>1</c:v>
                </c:pt>
              </c:numCache>
            </c:numRef>
          </c:cat>
          <c:val>
            <c:numRef>
              <c:f>(#REF!,#REF!,#REF!)</c:f>
              <c:numCache>
                <c:ptCount val="1"/>
                <c:pt idx="0">
                  <c:v>1</c:v>
                </c:pt>
              </c:numCache>
            </c:numRef>
          </c:val>
        </c:ser>
      </c:pie3DChart>
      <c:spPr>
        <a:noFill/>
        <a:ln>
          <a:noFill/>
        </a:ln>
      </c:spPr>
    </c:plotArea>
    <c:legend>
      <c:legendPos val="b"/>
      <c:layout/>
      <c:overlay val="0"/>
      <c:spPr>
        <a:noFill/>
        <a:ln w="3175">
          <a:noFill/>
        </a:ln>
      </c:spPr>
      <c:txPr>
        <a:bodyPr vert="horz" rot="0"/>
        <a:lstStyle/>
        <a:p>
          <a:pPr>
            <a:defRPr lang="en-US" cap="none" sz="775" b="0" i="0" u="none" baseline="0">
              <a:solidFill>
                <a:srgbClr val="333333"/>
              </a:solidFill>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231</xdr:row>
      <xdr:rowOff>9525</xdr:rowOff>
    </xdr:from>
    <xdr:to>
      <xdr:col>2</xdr:col>
      <xdr:colOff>257175</xdr:colOff>
      <xdr:row>249</xdr:row>
      <xdr:rowOff>85725</xdr:rowOff>
    </xdr:to>
    <xdr:graphicFrame>
      <xdr:nvGraphicFramePr>
        <xdr:cNvPr id="1" name="Diagramă 6"/>
        <xdr:cNvGraphicFramePr/>
      </xdr:nvGraphicFramePr>
      <xdr:xfrm>
        <a:off x="723900" y="172945425"/>
        <a:ext cx="3819525" cy="0"/>
      </xdr:xfrm>
      <a:graphic>
        <a:graphicData uri="http://schemas.openxmlformats.org/drawingml/2006/chart">
          <c:chart xmlns:c="http://schemas.openxmlformats.org/drawingml/2006/chart" r:id="rId1"/>
        </a:graphicData>
      </a:graphic>
    </xdr:graphicFrame>
    <xdr:clientData/>
  </xdr:twoCellAnchor>
  <xdr:twoCellAnchor>
    <xdr:from>
      <xdr:col>1</xdr:col>
      <xdr:colOff>190500</xdr:colOff>
      <xdr:row>267</xdr:row>
      <xdr:rowOff>28575</xdr:rowOff>
    </xdr:from>
    <xdr:to>
      <xdr:col>2</xdr:col>
      <xdr:colOff>0</xdr:colOff>
      <xdr:row>284</xdr:row>
      <xdr:rowOff>85725</xdr:rowOff>
    </xdr:to>
    <xdr:graphicFrame>
      <xdr:nvGraphicFramePr>
        <xdr:cNvPr id="2" name="Diagramă 9"/>
        <xdr:cNvGraphicFramePr/>
      </xdr:nvGraphicFramePr>
      <xdr:xfrm>
        <a:off x="628650" y="172945425"/>
        <a:ext cx="3657600"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211</xdr:row>
      <xdr:rowOff>0</xdr:rowOff>
    </xdr:from>
    <xdr:to>
      <xdr:col>1</xdr:col>
      <xdr:colOff>3848100</xdr:colOff>
      <xdr:row>227</xdr:row>
      <xdr:rowOff>38100</xdr:rowOff>
    </xdr:to>
    <xdr:graphicFrame>
      <xdr:nvGraphicFramePr>
        <xdr:cNvPr id="3" name="Diagramă 11"/>
        <xdr:cNvGraphicFramePr/>
      </xdr:nvGraphicFramePr>
      <xdr:xfrm>
        <a:off x="438150" y="172945425"/>
        <a:ext cx="3848100" cy="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250</xdr:row>
      <xdr:rowOff>161925</xdr:rowOff>
    </xdr:from>
    <xdr:to>
      <xdr:col>2</xdr:col>
      <xdr:colOff>152400</xdr:colOff>
      <xdr:row>266</xdr:row>
      <xdr:rowOff>152400</xdr:rowOff>
    </xdr:to>
    <xdr:graphicFrame>
      <xdr:nvGraphicFramePr>
        <xdr:cNvPr id="4" name="Diagramă 7"/>
        <xdr:cNvGraphicFramePr/>
      </xdr:nvGraphicFramePr>
      <xdr:xfrm>
        <a:off x="438150" y="172945425"/>
        <a:ext cx="4000500" cy="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52946191\Desktop\prioritizare%202018\00%20centralizator%20si%20memo\anexe%20finale%20ministere%20pt%20verificare%20centralizator\metrorex%20f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52946191\Desktop\prioritizare%202018\00%20centralizator%20si%20memo\anexe%20finale%20ministere%20pt%20verificare%20centralizator\CNAIR%20anexa%203%20finala%2019%20sept%20201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52946191\Desktop\cnair%2020%20sep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52946191\Desktop\prioritizare%202018\00%20centralizator%20si%20memo\anexe%20finale%20ministere%20pt%20verificare%20centralizator\Anexa%203%20CFR%20-%2005%20sept%202018%20final.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52946191\Desktop\prioritizare%202018\00%20centralizator%20si%20memo\anexe%20finale%20ministere%20pt%20verificare%20centralizator\2018%20Prioritizare%20anexa%203%20transport%20naval%2006.09.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Anexa 3 iunie 2018"/>
      <sheetName val="Anexa 3 iulie 2018"/>
      <sheetName val=" A 2  modif 10 iulie 2018"/>
    </sheetNames>
    <sheetDataSet>
      <sheetData sheetId="1">
        <row r="11">
          <cell r="I11">
            <v>15812492</v>
          </cell>
          <cell r="M11">
            <v>10083369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exa nr 3"/>
    </sheetNames>
    <sheetDataSet>
      <sheetData sheetId="0">
        <row r="100">
          <cell r="F100">
            <v>57.02580000000001</v>
          </cell>
          <cell r="G100">
            <v>49.94530178887644</v>
          </cell>
          <cell r="I100">
            <v>108444423.36452997</v>
          </cell>
          <cell r="M100">
            <v>65459951.74453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nexa 2 PUNCTAJ"/>
      <sheetName val="Sheet1"/>
    </sheetNames>
    <sheetDataSet>
      <sheetData sheetId="0">
        <row r="192">
          <cell r="F192">
            <v>6980.5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nexa 2"/>
      <sheetName val="Anexa 3 - 05.09.2018"/>
      <sheetName val="Anexa 3 - 28.04.2016"/>
      <sheetName val="lista modificari"/>
      <sheetName val="Sheet1"/>
    </sheetNames>
    <sheetDataSet>
      <sheetData sheetId="1">
        <row r="21">
          <cell r="I21">
            <v>37207406</v>
          </cell>
          <cell r="M21">
            <v>22054299.83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nexa nr 3"/>
    </sheetNames>
    <sheetDataSet>
      <sheetData sheetId="0">
        <row r="17">
          <cell r="I17">
            <v>4554710</v>
          </cell>
          <cell r="M17">
            <v>2865562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429"/>
  <sheetViews>
    <sheetView tabSelected="1" view="pageBreakPreview" zoomScale="50" zoomScaleNormal="70" zoomScaleSheetLayoutView="50" zoomScalePageLayoutView="85" workbookViewId="0" topLeftCell="A1">
      <selection activeCell="Q105" sqref="Q105"/>
    </sheetView>
  </sheetViews>
  <sheetFormatPr defaultColWidth="9.140625" defaultRowHeight="12.75"/>
  <cols>
    <col min="1" max="1" width="6.57421875" style="33" customWidth="1"/>
    <col min="2" max="2" width="57.7109375" style="186" customWidth="1"/>
    <col min="3" max="3" width="15.7109375" style="32" customWidth="1"/>
    <col min="4" max="4" width="22.7109375" style="32" customWidth="1"/>
    <col min="5" max="5" width="20.57421875" style="33" customWidth="1"/>
    <col min="6" max="6" width="15.8515625" style="34" customWidth="1"/>
    <col min="7" max="7" width="22.57421875" style="92" customWidth="1"/>
    <col min="8" max="8" width="19.7109375" style="101" bestFit="1" customWidth="1"/>
    <col min="9" max="9" width="21.140625" style="101" bestFit="1" customWidth="1"/>
    <col min="10" max="10" width="25.8515625" style="214" bestFit="1" customWidth="1"/>
    <col min="11" max="11" width="23.57421875" style="214" hidden="1" customWidth="1"/>
    <col min="12" max="12" width="21.140625" style="214" hidden="1" customWidth="1"/>
    <col min="13" max="13" width="20.57421875" style="214" hidden="1" customWidth="1"/>
    <col min="14" max="14" width="30.8515625" style="100" customWidth="1"/>
    <col min="15" max="15" width="38.8515625" style="32" bestFit="1" customWidth="1"/>
    <col min="16" max="16" width="23.57421875" style="103" hidden="1" customWidth="1"/>
    <col min="17" max="17" width="59.28125" style="285" customWidth="1"/>
    <col min="18" max="18" width="12.8515625" style="1" customWidth="1"/>
    <col min="19" max="19" width="16.00390625" style="1" customWidth="1"/>
    <col min="20" max="20" width="14.28125" style="1" customWidth="1"/>
    <col min="21" max="21" width="13.8515625" style="1" customWidth="1"/>
    <col min="22" max="22" width="16.00390625" style="1" customWidth="1"/>
    <col min="23" max="16384" width="9.140625" style="1" customWidth="1"/>
  </cols>
  <sheetData>
    <row r="1" spans="1:18" ht="20.25">
      <c r="A1" s="1"/>
      <c r="B1" s="415" t="s">
        <v>445</v>
      </c>
      <c r="Q1" s="310" t="s">
        <v>270</v>
      </c>
      <c r="R1" s="136"/>
    </row>
    <row r="2" spans="1:2" ht="15.75">
      <c r="A2" s="36"/>
      <c r="B2" s="36"/>
    </row>
    <row r="3" spans="1:17" ht="19.5">
      <c r="A3" s="427" t="s">
        <v>271</v>
      </c>
      <c r="B3" s="427"/>
      <c r="C3" s="427"/>
      <c r="D3" s="427"/>
      <c r="E3" s="427"/>
      <c r="F3" s="427"/>
      <c r="G3" s="427"/>
      <c r="H3" s="428"/>
      <c r="I3" s="427"/>
      <c r="J3" s="428"/>
      <c r="K3" s="427"/>
      <c r="L3" s="427"/>
      <c r="M3" s="427"/>
      <c r="N3" s="427"/>
      <c r="O3" s="427"/>
      <c r="P3" s="429"/>
      <c r="Q3" s="427"/>
    </row>
    <row r="4" spans="1:17" ht="19.5">
      <c r="A4" s="427" t="s">
        <v>272</v>
      </c>
      <c r="B4" s="427"/>
      <c r="C4" s="427"/>
      <c r="D4" s="427"/>
      <c r="E4" s="427"/>
      <c r="F4" s="427"/>
      <c r="G4" s="427"/>
      <c r="H4" s="428"/>
      <c r="I4" s="427"/>
      <c r="J4" s="428"/>
      <c r="K4" s="427"/>
      <c r="L4" s="427"/>
      <c r="M4" s="427"/>
      <c r="N4" s="427"/>
      <c r="O4" s="427"/>
      <c r="P4" s="429"/>
      <c r="Q4" s="427"/>
    </row>
    <row r="5" spans="1:2" ht="15.75">
      <c r="A5" s="36"/>
      <c r="B5" s="36"/>
    </row>
    <row r="6" spans="1:17" ht="16.5" thickBot="1">
      <c r="A6" s="36"/>
      <c r="B6" s="36"/>
      <c r="F6" s="215"/>
      <c r="Q6" s="286"/>
    </row>
    <row r="7" spans="1:17" s="11" customFormat="1" ht="44.25" customHeight="1">
      <c r="A7" s="430" t="s">
        <v>0</v>
      </c>
      <c r="B7" s="432" t="s">
        <v>1</v>
      </c>
      <c r="C7" s="434" t="s">
        <v>2</v>
      </c>
      <c r="D7" s="455" t="s">
        <v>209</v>
      </c>
      <c r="E7" s="434" t="s">
        <v>3</v>
      </c>
      <c r="F7" s="457" t="s">
        <v>4</v>
      </c>
      <c r="G7" s="446" t="s">
        <v>5</v>
      </c>
      <c r="H7" s="438" t="s">
        <v>268</v>
      </c>
      <c r="I7" s="438" t="s">
        <v>448</v>
      </c>
      <c r="J7" s="440" t="s">
        <v>95</v>
      </c>
      <c r="K7" s="442" t="s">
        <v>318</v>
      </c>
      <c r="L7" s="442" t="s">
        <v>344</v>
      </c>
      <c r="M7" s="442" t="s">
        <v>325</v>
      </c>
      <c r="N7" s="440" t="s">
        <v>447</v>
      </c>
      <c r="O7" s="434" t="s">
        <v>269</v>
      </c>
      <c r="P7" s="436" t="s">
        <v>96</v>
      </c>
      <c r="Q7" s="437"/>
    </row>
    <row r="8" spans="1:17" s="12" customFormat="1" ht="60.75" customHeight="1">
      <c r="A8" s="431"/>
      <c r="B8" s="433"/>
      <c r="C8" s="435"/>
      <c r="D8" s="456"/>
      <c r="E8" s="435"/>
      <c r="F8" s="458"/>
      <c r="G8" s="447"/>
      <c r="H8" s="439"/>
      <c r="I8" s="439"/>
      <c r="J8" s="441"/>
      <c r="K8" s="443"/>
      <c r="L8" s="443"/>
      <c r="M8" s="443"/>
      <c r="N8" s="441"/>
      <c r="O8" s="435"/>
      <c r="P8" s="37" t="s">
        <v>6</v>
      </c>
      <c r="Q8" s="414" t="s">
        <v>444</v>
      </c>
    </row>
    <row r="9" spans="1:17" s="13" customFormat="1" ht="16.5" thickBot="1">
      <c r="A9" s="205">
        <v>0</v>
      </c>
      <c r="B9" s="206">
        <v>1</v>
      </c>
      <c r="C9" s="207">
        <v>2</v>
      </c>
      <c r="D9" s="207">
        <v>3</v>
      </c>
      <c r="E9" s="207">
        <v>4</v>
      </c>
      <c r="F9" s="208">
        <v>5</v>
      </c>
      <c r="G9" s="208">
        <v>6</v>
      </c>
      <c r="H9" s="208">
        <v>7</v>
      </c>
      <c r="I9" s="208">
        <v>8</v>
      </c>
      <c r="J9" s="208">
        <v>9</v>
      </c>
      <c r="K9" s="208"/>
      <c r="L9" s="208"/>
      <c r="M9" s="208"/>
      <c r="N9" s="209">
        <v>10</v>
      </c>
      <c r="O9" s="208">
        <v>11</v>
      </c>
      <c r="P9" s="216">
        <v>12</v>
      </c>
      <c r="Q9" s="413">
        <v>12</v>
      </c>
    </row>
    <row r="10" spans="1:17" s="13" customFormat="1" ht="77.25" customHeight="1">
      <c r="A10" s="210">
        <v>1</v>
      </c>
      <c r="B10" s="217" t="s">
        <v>179</v>
      </c>
      <c r="C10" s="218" t="s">
        <v>239</v>
      </c>
      <c r="D10" s="218" t="s">
        <v>190</v>
      </c>
      <c r="E10" s="219" t="s">
        <v>8</v>
      </c>
      <c r="F10" s="211">
        <v>1185</v>
      </c>
      <c r="G10" s="220">
        <v>101</v>
      </c>
      <c r="H10" s="221">
        <v>0.055</v>
      </c>
      <c r="I10" s="221">
        <v>0.03</v>
      </c>
      <c r="J10" s="222">
        <v>3404223</v>
      </c>
      <c r="K10" s="222">
        <v>90467</v>
      </c>
      <c r="L10" s="222"/>
      <c r="M10" s="222">
        <v>124019</v>
      </c>
      <c r="N10" s="212">
        <f aca="true" t="shared" si="0" ref="N10:N41">J10-K10-M10</f>
        <v>3189737</v>
      </c>
      <c r="O10" s="218" t="s">
        <v>249</v>
      </c>
      <c r="P10" s="213">
        <v>573891887</v>
      </c>
      <c r="Q10" s="287"/>
    </row>
    <row r="11" spans="1:17" s="13" customFormat="1" ht="94.5" customHeight="1">
      <c r="A11" s="138">
        <v>2</v>
      </c>
      <c r="B11" s="167" t="s">
        <v>135</v>
      </c>
      <c r="C11" s="139" t="s">
        <v>289</v>
      </c>
      <c r="D11" s="145" t="s">
        <v>167</v>
      </c>
      <c r="E11" s="31" t="s">
        <v>8</v>
      </c>
      <c r="F11" s="143">
        <v>1295</v>
      </c>
      <c r="G11" s="144">
        <v>100</v>
      </c>
      <c r="H11" s="223">
        <v>0.8708</v>
      </c>
      <c r="I11" s="224">
        <v>0.6304</v>
      </c>
      <c r="J11" s="142">
        <v>227628</v>
      </c>
      <c r="K11" s="142">
        <v>137507</v>
      </c>
      <c r="L11" s="142"/>
      <c r="M11" s="142">
        <v>32725</v>
      </c>
      <c r="N11" s="38">
        <f t="shared" si="0"/>
        <v>57396</v>
      </c>
      <c r="O11" s="145" t="s">
        <v>170</v>
      </c>
      <c r="P11" s="102">
        <v>343613420</v>
      </c>
      <c r="Q11" s="288" t="s">
        <v>354</v>
      </c>
    </row>
    <row r="12" spans="1:17" s="13" customFormat="1" ht="77.25" customHeight="1">
      <c r="A12" s="138">
        <v>3</v>
      </c>
      <c r="B12" s="167" t="s">
        <v>295</v>
      </c>
      <c r="C12" s="31" t="s">
        <v>289</v>
      </c>
      <c r="D12" s="145" t="s">
        <v>166</v>
      </c>
      <c r="E12" s="31" t="s">
        <v>12</v>
      </c>
      <c r="F12" s="31">
        <v>1329</v>
      </c>
      <c r="G12" s="225">
        <v>100</v>
      </c>
      <c r="H12" s="226">
        <v>0.0226</v>
      </c>
      <c r="I12" s="227">
        <v>0.15</v>
      </c>
      <c r="J12" s="38">
        <v>655187</v>
      </c>
      <c r="K12" s="38">
        <v>0</v>
      </c>
      <c r="L12" s="38"/>
      <c r="M12" s="38">
        <v>121752</v>
      </c>
      <c r="N12" s="38">
        <f t="shared" si="0"/>
        <v>533435</v>
      </c>
      <c r="O12" s="145" t="s">
        <v>169</v>
      </c>
      <c r="P12" s="102">
        <f>486180000/4.9</f>
        <v>99220408.1632653</v>
      </c>
      <c r="Q12" s="289" t="s">
        <v>366</v>
      </c>
    </row>
    <row r="13" spans="1:17" s="13" customFormat="1" ht="77.25" customHeight="1">
      <c r="A13" s="138">
        <v>4</v>
      </c>
      <c r="B13" s="39" t="s">
        <v>180</v>
      </c>
      <c r="C13" s="104" t="s">
        <v>239</v>
      </c>
      <c r="D13" s="104" t="s">
        <v>190</v>
      </c>
      <c r="E13" s="139" t="s">
        <v>8</v>
      </c>
      <c r="F13" s="166">
        <v>1280</v>
      </c>
      <c r="G13" s="141">
        <v>100</v>
      </c>
      <c r="H13" s="227">
        <v>0</v>
      </c>
      <c r="I13" s="227">
        <v>0.004</v>
      </c>
      <c r="J13" s="38">
        <v>202457</v>
      </c>
      <c r="K13" s="38">
        <v>861</v>
      </c>
      <c r="L13" s="38"/>
      <c r="M13" s="38">
        <v>215</v>
      </c>
      <c r="N13" s="38">
        <f t="shared" si="0"/>
        <v>201381</v>
      </c>
      <c r="O13" s="104" t="s">
        <v>249</v>
      </c>
      <c r="P13" s="38">
        <f>65764297/4.8</f>
        <v>13700895.208333334</v>
      </c>
      <c r="Q13" s="284"/>
    </row>
    <row r="14" spans="1:17" s="13" customFormat="1" ht="77.25" customHeight="1">
      <c r="A14" s="138">
        <v>5</v>
      </c>
      <c r="B14" s="167" t="s">
        <v>287</v>
      </c>
      <c r="C14" s="31" t="s">
        <v>289</v>
      </c>
      <c r="D14" s="145" t="s">
        <v>288</v>
      </c>
      <c r="E14" s="31" t="s">
        <v>12</v>
      </c>
      <c r="F14" s="31">
        <v>1368</v>
      </c>
      <c r="G14" s="144">
        <v>100</v>
      </c>
      <c r="H14" s="226">
        <v>0</v>
      </c>
      <c r="I14" s="227">
        <v>0.002</v>
      </c>
      <c r="J14" s="38">
        <v>184506</v>
      </c>
      <c r="K14" s="38">
        <v>377</v>
      </c>
      <c r="L14" s="38"/>
      <c r="M14" s="38">
        <v>2613</v>
      </c>
      <c r="N14" s="38">
        <f t="shared" si="0"/>
        <v>181516</v>
      </c>
      <c r="O14" s="145" t="s">
        <v>327</v>
      </c>
      <c r="P14" s="102">
        <f>48706300/4.9</f>
        <v>9940061.224489795</v>
      </c>
      <c r="Q14" s="288" t="s">
        <v>353</v>
      </c>
    </row>
    <row r="15" spans="1:17" s="13" customFormat="1" ht="77.25" customHeight="1">
      <c r="A15" s="138">
        <v>6</v>
      </c>
      <c r="B15" s="39" t="s">
        <v>181</v>
      </c>
      <c r="C15" s="104" t="s">
        <v>239</v>
      </c>
      <c r="D15" s="104" t="s">
        <v>190</v>
      </c>
      <c r="E15" s="139" t="s">
        <v>8</v>
      </c>
      <c r="F15" s="166">
        <v>1279</v>
      </c>
      <c r="G15" s="141">
        <v>100</v>
      </c>
      <c r="H15" s="227">
        <v>0</v>
      </c>
      <c r="I15" s="227">
        <v>0.007</v>
      </c>
      <c r="J15" s="38">
        <v>234864</v>
      </c>
      <c r="K15" s="38">
        <v>1657</v>
      </c>
      <c r="L15" s="38"/>
      <c r="M15" s="38">
        <v>0</v>
      </c>
      <c r="N15" s="38">
        <f t="shared" si="0"/>
        <v>233207</v>
      </c>
      <c r="O15" s="104" t="s">
        <v>249</v>
      </c>
      <c r="P15" s="142">
        <f>37133000/4.8</f>
        <v>7736041.666666667</v>
      </c>
      <c r="Q15" s="290"/>
    </row>
    <row r="16" spans="1:17" s="13" customFormat="1" ht="77.25" customHeight="1">
      <c r="A16" s="138">
        <v>7</v>
      </c>
      <c r="B16" s="167" t="s">
        <v>285</v>
      </c>
      <c r="C16" s="139" t="s">
        <v>289</v>
      </c>
      <c r="D16" s="145" t="s">
        <v>167</v>
      </c>
      <c r="E16" s="31" t="s">
        <v>12</v>
      </c>
      <c r="F16" s="143">
        <v>11177</v>
      </c>
      <c r="G16" s="144">
        <v>99</v>
      </c>
      <c r="H16" s="226">
        <v>0</v>
      </c>
      <c r="I16" s="227">
        <v>0</v>
      </c>
      <c r="J16" s="38">
        <v>146168</v>
      </c>
      <c r="K16" s="38">
        <v>0</v>
      </c>
      <c r="L16" s="38"/>
      <c r="M16" s="38">
        <v>24481</v>
      </c>
      <c r="N16" s="38">
        <f t="shared" si="0"/>
        <v>121687</v>
      </c>
      <c r="O16" s="145" t="s">
        <v>170</v>
      </c>
      <c r="P16" s="102">
        <v>47377743</v>
      </c>
      <c r="Q16" s="291"/>
    </row>
    <row r="17" spans="1:17" s="13" customFormat="1" ht="77.25" customHeight="1">
      <c r="A17" s="138">
        <v>8</v>
      </c>
      <c r="B17" s="167" t="s">
        <v>319</v>
      </c>
      <c r="C17" s="139" t="s">
        <v>289</v>
      </c>
      <c r="D17" s="145" t="s">
        <v>165</v>
      </c>
      <c r="E17" s="31" t="s">
        <v>8</v>
      </c>
      <c r="F17" s="163">
        <v>1306</v>
      </c>
      <c r="G17" s="144">
        <v>99</v>
      </c>
      <c r="H17" s="226">
        <v>0</v>
      </c>
      <c r="I17" s="227">
        <v>0.0007</v>
      </c>
      <c r="J17" s="228">
        <v>117949</v>
      </c>
      <c r="K17" s="38">
        <v>77</v>
      </c>
      <c r="L17" s="38"/>
      <c r="M17" s="38">
        <v>28230</v>
      </c>
      <c r="N17" s="38">
        <f t="shared" si="0"/>
        <v>89642</v>
      </c>
      <c r="O17" s="145" t="s">
        <v>235</v>
      </c>
      <c r="P17" s="102">
        <v>16377854</v>
      </c>
      <c r="Q17" s="291"/>
    </row>
    <row r="18" spans="1:17" s="13" customFormat="1" ht="77.25" customHeight="1">
      <c r="A18" s="138">
        <v>9</v>
      </c>
      <c r="B18" s="169" t="s">
        <v>178</v>
      </c>
      <c r="C18" s="148" t="s">
        <v>296</v>
      </c>
      <c r="D18" s="148" t="s">
        <v>296</v>
      </c>
      <c r="E18" s="148" t="s">
        <v>8</v>
      </c>
      <c r="F18" s="149">
        <v>1031</v>
      </c>
      <c r="G18" s="141">
        <v>98.5</v>
      </c>
      <c r="H18" s="227">
        <v>0.89</v>
      </c>
      <c r="I18" s="227">
        <v>0.924</v>
      </c>
      <c r="J18" s="142">
        <v>1739734</v>
      </c>
      <c r="K18" s="142">
        <v>1607556</v>
      </c>
      <c r="L18" s="142"/>
      <c r="M18" s="142">
        <v>35000</v>
      </c>
      <c r="N18" s="38">
        <f t="shared" si="0"/>
        <v>97178</v>
      </c>
      <c r="O18" s="143" t="s">
        <v>251</v>
      </c>
      <c r="P18" s="102">
        <v>117113838</v>
      </c>
      <c r="Q18" s="292" t="s">
        <v>347</v>
      </c>
    </row>
    <row r="19" spans="1:17" s="168" customFormat="1" ht="96" customHeight="1">
      <c r="A19" s="138">
        <v>10</v>
      </c>
      <c r="B19" s="167" t="s">
        <v>267</v>
      </c>
      <c r="C19" s="104" t="s">
        <v>9</v>
      </c>
      <c r="D19" s="145" t="s">
        <v>312</v>
      </c>
      <c r="E19" s="31" t="s">
        <v>12</v>
      </c>
      <c r="F19" s="143" t="s">
        <v>253</v>
      </c>
      <c r="G19" s="141">
        <v>98</v>
      </c>
      <c r="H19" s="223">
        <v>0</v>
      </c>
      <c r="I19" s="227">
        <v>0</v>
      </c>
      <c r="J19" s="38">
        <v>250782</v>
      </c>
      <c r="K19" s="38">
        <v>0</v>
      </c>
      <c r="L19" s="38"/>
      <c r="M19" s="38">
        <v>0</v>
      </c>
      <c r="N19" s="38">
        <f t="shared" si="0"/>
        <v>250782</v>
      </c>
      <c r="O19" s="104" t="s">
        <v>235</v>
      </c>
      <c r="P19" s="102">
        <v>33299000000</v>
      </c>
      <c r="Q19" s="284"/>
    </row>
    <row r="20" spans="1:17" s="13" customFormat="1" ht="85.5" customHeight="1">
      <c r="A20" s="138">
        <v>11</v>
      </c>
      <c r="B20" s="167" t="s">
        <v>308</v>
      </c>
      <c r="C20" s="31" t="s">
        <v>9</v>
      </c>
      <c r="D20" s="145" t="s">
        <v>309</v>
      </c>
      <c r="E20" s="31" t="s">
        <v>12</v>
      </c>
      <c r="F20" s="143" t="s">
        <v>253</v>
      </c>
      <c r="G20" s="144">
        <v>98</v>
      </c>
      <c r="H20" s="226">
        <v>0</v>
      </c>
      <c r="I20" s="227">
        <v>0</v>
      </c>
      <c r="J20" s="38">
        <v>371213</v>
      </c>
      <c r="K20" s="38">
        <v>0</v>
      </c>
      <c r="L20" s="38"/>
      <c r="M20" s="38">
        <v>0</v>
      </c>
      <c r="N20" s="38">
        <f t="shared" si="0"/>
        <v>371213</v>
      </c>
      <c r="O20" s="145" t="s">
        <v>235</v>
      </c>
      <c r="P20" s="102">
        <v>15188000000</v>
      </c>
      <c r="Q20" s="291"/>
    </row>
    <row r="21" spans="1:17" s="168" customFormat="1" ht="77.25" customHeight="1">
      <c r="A21" s="138">
        <v>12</v>
      </c>
      <c r="B21" s="167" t="s">
        <v>58</v>
      </c>
      <c r="C21" s="139" t="s">
        <v>289</v>
      </c>
      <c r="D21" s="31" t="s">
        <v>165</v>
      </c>
      <c r="E21" s="31" t="s">
        <v>8</v>
      </c>
      <c r="F21" s="143">
        <v>1287</v>
      </c>
      <c r="G21" s="144">
        <v>98</v>
      </c>
      <c r="H21" s="223">
        <v>0</v>
      </c>
      <c r="I21" s="227">
        <v>0.0001</v>
      </c>
      <c r="J21" s="38">
        <v>2136328</v>
      </c>
      <c r="K21" s="38">
        <v>132</v>
      </c>
      <c r="L21" s="38"/>
      <c r="M21" s="38">
        <v>6697</v>
      </c>
      <c r="N21" s="38">
        <f t="shared" si="0"/>
        <v>2129499</v>
      </c>
      <c r="O21" s="229" t="s">
        <v>203</v>
      </c>
      <c r="P21" s="147">
        <f>2644*1000000</f>
        <v>2644000000</v>
      </c>
      <c r="Q21" s="291"/>
    </row>
    <row r="22" spans="1:17" s="168" customFormat="1" ht="77.25" customHeight="1">
      <c r="A22" s="138">
        <v>13</v>
      </c>
      <c r="B22" s="167" t="s">
        <v>223</v>
      </c>
      <c r="C22" s="139" t="s">
        <v>289</v>
      </c>
      <c r="D22" s="31" t="s">
        <v>165</v>
      </c>
      <c r="E22" s="31" t="s">
        <v>12</v>
      </c>
      <c r="F22" s="143">
        <v>1325</v>
      </c>
      <c r="G22" s="144">
        <v>98</v>
      </c>
      <c r="H22" s="226">
        <v>0</v>
      </c>
      <c r="I22" s="227">
        <v>0</v>
      </c>
      <c r="J22" s="38">
        <v>1221323</v>
      </c>
      <c r="K22" s="38">
        <v>0</v>
      </c>
      <c r="L22" s="38"/>
      <c r="M22" s="38">
        <v>11000</v>
      </c>
      <c r="N22" s="38">
        <f t="shared" si="0"/>
        <v>1210323</v>
      </c>
      <c r="O22" s="145" t="s">
        <v>235</v>
      </c>
      <c r="P22" s="102">
        <f>273480000</f>
        <v>273480000</v>
      </c>
      <c r="Q22" s="291"/>
    </row>
    <row r="23" spans="1:17" s="168" customFormat="1" ht="78.75" customHeight="1">
      <c r="A23" s="138">
        <v>14</v>
      </c>
      <c r="B23" s="167" t="s">
        <v>266</v>
      </c>
      <c r="C23" s="104" t="s">
        <v>290</v>
      </c>
      <c r="D23" s="145" t="s">
        <v>291</v>
      </c>
      <c r="E23" s="31" t="s">
        <v>8</v>
      </c>
      <c r="F23" s="143">
        <v>1107</v>
      </c>
      <c r="G23" s="144">
        <v>98</v>
      </c>
      <c r="H23" s="226">
        <v>0.01</v>
      </c>
      <c r="I23" s="227">
        <v>0.01</v>
      </c>
      <c r="J23" s="38">
        <v>176488</v>
      </c>
      <c r="K23" s="38">
        <v>1500</v>
      </c>
      <c r="L23" s="38"/>
      <c r="M23" s="38">
        <v>60600</v>
      </c>
      <c r="N23" s="38">
        <f t="shared" si="0"/>
        <v>114388</v>
      </c>
      <c r="O23" s="145" t="s">
        <v>169</v>
      </c>
      <c r="P23" s="102">
        <f>176487956.53/4.8</f>
        <v>36768324.27708334</v>
      </c>
      <c r="Q23" s="291"/>
    </row>
    <row r="24" spans="1:17" s="168" customFormat="1" ht="77.25" customHeight="1">
      <c r="A24" s="138">
        <v>15</v>
      </c>
      <c r="B24" s="167" t="s">
        <v>224</v>
      </c>
      <c r="C24" s="139" t="s">
        <v>289</v>
      </c>
      <c r="D24" s="145" t="s">
        <v>167</v>
      </c>
      <c r="E24" s="31" t="s">
        <v>12</v>
      </c>
      <c r="F24" s="143">
        <v>1363</v>
      </c>
      <c r="G24" s="144">
        <v>98</v>
      </c>
      <c r="H24" s="226">
        <v>0</v>
      </c>
      <c r="I24" s="227">
        <v>0</v>
      </c>
      <c r="J24" s="38">
        <v>102316</v>
      </c>
      <c r="K24" s="38">
        <v>0</v>
      </c>
      <c r="L24" s="38"/>
      <c r="M24" s="38">
        <v>3846</v>
      </c>
      <c r="N24" s="38">
        <f t="shared" si="0"/>
        <v>98470</v>
      </c>
      <c r="O24" s="145" t="s">
        <v>170</v>
      </c>
      <c r="P24" s="102">
        <v>19298142</v>
      </c>
      <c r="Q24" s="291"/>
    </row>
    <row r="25" spans="1:17" s="168" customFormat="1" ht="77.25" customHeight="1">
      <c r="A25" s="138">
        <v>16</v>
      </c>
      <c r="B25" s="169" t="s">
        <v>252</v>
      </c>
      <c r="C25" s="139" t="s">
        <v>289</v>
      </c>
      <c r="D25" s="145" t="s">
        <v>165</v>
      </c>
      <c r="E25" s="31" t="s">
        <v>12</v>
      </c>
      <c r="F25" s="230">
        <v>1322</v>
      </c>
      <c r="G25" s="141">
        <v>98</v>
      </c>
      <c r="H25" s="223">
        <v>0</v>
      </c>
      <c r="I25" s="227">
        <v>0</v>
      </c>
      <c r="J25" s="38">
        <v>133429</v>
      </c>
      <c r="K25" s="38">
        <v>0</v>
      </c>
      <c r="L25" s="38"/>
      <c r="M25" s="38">
        <v>14311</v>
      </c>
      <c r="N25" s="38">
        <f t="shared" si="0"/>
        <v>119118</v>
      </c>
      <c r="O25" s="145" t="s">
        <v>170</v>
      </c>
      <c r="P25" s="102">
        <f>(69.272*1000000)/4.8</f>
        <v>14431666.666666668</v>
      </c>
      <c r="Q25" s="291"/>
    </row>
    <row r="26" spans="1:17" s="168" customFormat="1" ht="77.25" customHeight="1">
      <c r="A26" s="138">
        <v>17</v>
      </c>
      <c r="B26" s="167" t="s">
        <v>283</v>
      </c>
      <c r="C26" s="139" t="s">
        <v>289</v>
      </c>
      <c r="D26" s="145" t="s">
        <v>167</v>
      </c>
      <c r="E26" s="31" t="s">
        <v>12</v>
      </c>
      <c r="F26" s="143">
        <v>1366</v>
      </c>
      <c r="G26" s="144">
        <v>98</v>
      </c>
      <c r="H26" s="226">
        <v>0</v>
      </c>
      <c r="I26" s="227">
        <v>0.0016</v>
      </c>
      <c r="J26" s="38">
        <v>121165</v>
      </c>
      <c r="K26" s="38">
        <v>188</v>
      </c>
      <c r="L26" s="38"/>
      <c r="M26" s="38">
        <v>11764</v>
      </c>
      <c r="N26" s="38">
        <f t="shared" si="0"/>
        <v>109213</v>
      </c>
      <c r="O26" s="145" t="s">
        <v>170</v>
      </c>
      <c r="P26" s="102">
        <v>7430999</v>
      </c>
      <c r="Q26" s="288" t="s">
        <v>360</v>
      </c>
    </row>
    <row r="27" spans="1:17" s="168" customFormat="1" ht="77.25" customHeight="1">
      <c r="A27" s="138">
        <v>18</v>
      </c>
      <c r="B27" s="167" t="s">
        <v>277</v>
      </c>
      <c r="C27" s="139" t="s">
        <v>289</v>
      </c>
      <c r="D27" s="145" t="s">
        <v>165</v>
      </c>
      <c r="E27" s="31" t="s">
        <v>12</v>
      </c>
      <c r="F27" s="143">
        <v>1317</v>
      </c>
      <c r="G27" s="144">
        <v>97.25</v>
      </c>
      <c r="H27" s="226">
        <v>0</v>
      </c>
      <c r="I27" s="227">
        <v>0.0032</v>
      </c>
      <c r="J27" s="38">
        <v>355432</v>
      </c>
      <c r="K27" s="38">
        <v>1131</v>
      </c>
      <c r="L27" s="38"/>
      <c r="M27" s="38">
        <v>2726</v>
      </c>
      <c r="N27" s="38">
        <f t="shared" si="0"/>
        <v>351575</v>
      </c>
      <c r="O27" s="145" t="s">
        <v>170</v>
      </c>
      <c r="P27" s="102">
        <v>105098000</v>
      </c>
      <c r="Q27" s="291"/>
    </row>
    <row r="28" spans="1:17" s="168" customFormat="1" ht="77.25" customHeight="1">
      <c r="A28" s="138">
        <v>19</v>
      </c>
      <c r="B28" s="167" t="s">
        <v>282</v>
      </c>
      <c r="C28" s="139" t="s">
        <v>289</v>
      </c>
      <c r="D28" s="145" t="s">
        <v>165</v>
      </c>
      <c r="E28" s="31" t="s">
        <v>12</v>
      </c>
      <c r="F28" s="163" t="s">
        <v>81</v>
      </c>
      <c r="G28" s="144">
        <v>97.25</v>
      </c>
      <c r="H28" s="226">
        <v>0</v>
      </c>
      <c r="I28" s="227">
        <v>0</v>
      </c>
      <c r="J28" s="38">
        <v>407532</v>
      </c>
      <c r="K28" s="38">
        <v>0</v>
      </c>
      <c r="L28" s="38"/>
      <c r="M28" s="38">
        <v>0</v>
      </c>
      <c r="N28" s="38">
        <f t="shared" si="0"/>
        <v>407532</v>
      </c>
      <c r="O28" s="145" t="s">
        <v>337</v>
      </c>
      <c r="P28" s="102">
        <v>2553792</v>
      </c>
      <c r="Q28" s="291"/>
    </row>
    <row r="29" spans="1:17" s="168" customFormat="1" ht="104.25" customHeight="1">
      <c r="A29" s="138">
        <v>20</v>
      </c>
      <c r="B29" s="167" t="s">
        <v>228</v>
      </c>
      <c r="C29" s="104" t="s">
        <v>9</v>
      </c>
      <c r="D29" s="31" t="s">
        <v>9</v>
      </c>
      <c r="E29" s="31" t="s">
        <v>8</v>
      </c>
      <c r="F29" s="143">
        <v>1315</v>
      </c>
      <c r="G29" s="144">
        <v>97</v>
      </c>
      <c r="H29" s="226">
        <v>0</v>
      </c>
      <c r="I29" s="227">
        <v>0</v>
      </c>
      <c r="J29" s="38">
        <v>2850508</v>
      </c>
      <c r="K29" s="38">
        <v>0</v>
      </c>
      <c r="L29" s="38"/>
      <c r="M29" s="38">
        <v>17747</v>
      </c>
      <c r="N29" s="38">
        <f t="shared" si="0"/>
        <v>2832761</v>
      </c>
      <c r="O29" s="145" t="s">
        <v>172</v>
      </c>
      <c r="P29" s="102">
        <f>2359281000</f>
        <v>2359281000</v>
      </c>
      <c r="Q29" s="484" t="s">
        <v>437</v>
      </c>
    </row>
    <row r="30" spans="1:17" s="168" customFormat="1" ht="97.5" customHeight="1">
      <c r="A30" s="138">
        <v>21</v>
      </c>
      <c r="B30" s="167" t="s">
        <v>227</v>
      </c>
      <c r="C30" s="104" t="s">
        <v>9</v>
      </c>
      <c r="D30" s="31" t="s">
        <v>9</v>
      </c>
      <c r="E30" s="31" t="s">
        <v>8</v>
      </c>
      <c r="F30" s="143">
        <v>1313</v>
      </c>
      <c r="G30" s="144">
        <v>97</v>
      </c>
      <c r="H30" s="226">
        <v>0</v>
      </c>
      <c r="I30" s="227">
        <v>0</v>
      </c>
      <c r="J30" s="38">
        <v>2568751</v>
      </c>
      <c r="K30" s="38">
        <v>0</v>
      </c>
      <c r="L30" s="38"/>
      <c r="M30" s="38">
        <v>8041</v>
      </c>
      <c r="N30" s="38">
        <f t="shared" si="0"/>
        <v>2560710</v>
      </c>
      <c r="O30" s="145" t="s">
        <v>172</v>
      </c>
      <c r="P30" s="102">
        <f>2211885000</f>
        <v>2211885000</v>
      </c>
      <c r="Q30" s="484" t="s">
        <v>438</v>
      </c>
    </row>
    <row r="31" spans="1:17" s="168" customFormat="1" ht="102" customHeight="1">
      <c r="A31" s="138">
        <v>22</v>
      </c>
      <c r="B31" s="169" t="s">
        <v>144</v>
      </c>
      <c r="C31" s="145" t="s">
        <v>9</v>
      </c>
      <c r="D31" s="145" t="s">
        <v>9</v>
      </c>
      <c r="E31" s="29" t="s">
        <v>8</v>
      </c>
      <c r="F31" s="170">
        <v>1314</v>
      </c>
      <c r="G31" s="146">
        <v>97</v>
      </c>
      <c r="H31" s="227">
        <v>0</v>
      </c>
      <c r="I31" s="227">
        <v>0</v>
      </c>
      <c r="J31" s="38">
        <v>2382970</v>
      </c>
      <c r="K31" s="38">
        <v>0</v>
      </c>
      <c r="L31" s="38"/>
      <c r="M31" s="38">
        <v>11622</v>
      </c>
      <c r="N31" s="38">
        <f t="shared" si="0"/>
        <v>2371348</v>
      </c>
      <c r="O31" s="143">
        <v>2027</v>
      </c>
      <c r="P31" s="102">
        <v>2143122000</v>
      </c>
      <c r="Q31" s="484" t="s">
        <v>439</v>
      </c>
    </row>
    <row r="32" spans="1:17" s="168" customFormat="1" ht="116.25" customHeight="1">
      <c r="A32" s="138">
        <v>23</v>
      </c>
      <c r="B32" s="171" t="s">
        <v>320</v>
      </c>
      <c r="C32" s="31" t="s">
        <v>290</v>
      </c>
      <c r="D32" s="145" t="s">
        <v>299</v>
      </c>
      <c r="E32" s="31" t="s">
        <v>12</v>
      </c>
      <c r="F32" s="164">
        <v>1108</v>
      </c>
      <c r="G32" s="144">
        <v>97</v>
      </c>
      <c r="H32" s="226">
        <v>0</v>
      </c>
      <c r="I32" s="227">
        <v>0</v>
      </c>
      <c r="J32" s="38">
        <v>175646</v>
      </c>
      <c r="K32" s="38">
        <v>0</v>
      </c>
      <c r="L32" s="38"/>
      <c r="M32" s="38">
        <v>0</v>
      </c>
      <c r="N32" s="38">
        <f t="shared" si="0"/>
        <v>175646</v>
      </c>
      <c r="O32" s="145" t="s">
        <v>170</v>
      </c>
      <c r="P32" s="102">
        <f>118280000/4.9</f>
        <v>24138775.51020408</v>
      </c>
      <c r="Q32" s="283" t="s">
        <v>346</v>
      </c>
    </row>
    <row r="33" spans="1:17" s="168" customFormat="1" ht="77.25" customHeight="1">
      <c r="A33" s="138">
        <v>24</v>
      </c>
      <c r="B33" s="167" t="s">
        <v>281</v>
      </c>
      <c r="C33" s="139" t="s">
        <v>289</v>
      </c>
      <c r="D33" s="145" t="s">
        <v>165</v>
      </c>
      <c r="E33" s="31" t="s">
        <v>12</v>
      </c>
      <c r="F33" s="163" t="s">
        <v>81</v>
      </c>
      <c r="G33" s="144">
        <v>97</v>
      </c>
      <c r="H33" s="226">
        <v>0</v>
      </c>
      <c r="I33" s="227">
        <v>0</v>
      </c>
      <c r="J33" s="38">
        <v>168726</v>
      </c>
      <c r="K33" s="38">
        <v>0</v>
      </c>
      <c r="L33" s="38"/>
      <c r="M33" s="38">
        <v>0</v>
      </c>
      <c r="N33" s="38">
        <f t="shared" si="0"/>
        <v>168726</v>
      </c>
      <c r="O33" s="145" t="s">
        <v>337</v>
      </c>
      <c r="P33" s="102">
        <v>16377854</v>
      </c>
      <c r="Q33" s="283"/>
    </row>
    <row r="34" spans="1:17" s="168" customFormat="1" ht="77.25" customHeight="1">
      <c r="A34" s="138">
        <v>25</v>
      </c>
      <c r="B34" s="167" t="s">
        <v>286</v>
      </c>
      <c r="C34" s="139" t="s">
        <v>289</v>
      </c>
      <c r="D34" s="145" t="s">
        <v>167</v>
      </c>
      <c r="E34" s="31" t="s">
        <v>12</v>
      </c>
      <c r="F34" s="163" t="s">
        <v>81</v>
      </c>
      <c r="G34" s="144">
        <v>97</v>
      </c>
      <c r="H34" s="226">
        <v>0</v>
      </c>
      <c r="I34" s="227">
        <v>0</v>
      </c>
      <c r="J34" s="38">
        <v>113390</v>
      </c>
      <c r="K34" s="38">
        <v>0</v>
      </c>
      <c r="L34" s="38"/>
      <c r="M34" s="38">
        <v>0</v>
      </c>
      <c r="N34" s="38">
        <f t="shared" si="0"/>
        <v>113390</v>
      </c>
      <c r="O34" s="145" t="s">
        <v>235</v>
      </c>
      <c r="P34" s="102">
        <f>8774528/4.9</f>
        <v>1790719.9999999998</v>
      </c>
      <c r="Q34" s="283" t="s">
        <v>357</v>
      </c>
    </row>
    <row r="35" spans="1:17" s="168" customFormat="1" ht="77.25" customHeight="1">
      <c r="A35" s="138">
        <v>26</v>
      </c>
      <c r="B35" s="172" t="s">
        <v>129</v>
      </c>
      <c r="C35" s="139" t="s">
        <v>289</v>
      </c>
      <c r="D35" s="145" t="s">
        <v>166</v>
      </c>
      <c r="E35" s="173" t="s">
        <v>8</v>
      </c>
      <c r="F35" s="174">
        <v>1002</v>
      </c>
      <c r="G35" s="146">
        <v>96.5</v>
      </c>
      <c r="H35" s="224">
        <v>0.99</v>
      </c>
      <c r="I35" s="224">
        <v>0.8838</v>
      </c>
      <c r="J35" s="142">
        <v>1556121</v>
      </c>
      <c r="K35" s="142">
        <v>1218156</v>
      </c>
      <c r="L35" s="142"/>
      <c r="M35" s="142">
        <v>14996</v>
      </c>
      <c r="N35" s="38">
        <f t="shared" si="0"/>
        <v>322969</v>
      </c>
      <c r="O35" s="143">
        <v>2021</v>
      </c>
      <c r="P35" s="102">
        <f>1378331000/4.8</f>
        <v>287152291.6666667</v>
      </c>
      <c r="Q35" s="283"/>
    </row>
    <row r="36" spans="1:17" s="168" customFormat="1" ht="77.25" customHeight="1">
      <c r="A36" s="138">
        <v>27</v>
      </c>
      <c r="B36" s="167" t="s">
        <v>276</v>
      </c>
      <c r="C36" s="139" t="s">
        <v>289</v>
      </c>
      <c r="D36" s="145" t="s">
        <v>165</v>
      </c>
      <c r="E36" s="31" t="s">
        <v>12</v>
      </c>
      <c r="F36" s="143">
        <v>1324</v>
      </c>
      <c r="G36" s="144">
        <v>96.5</v>
      </c>
      <c r="H36" s="226">
        <v>0</v>
      </c>
      <c r="I36" s="227">
        <v>0</v>
      </c>
      <c r="J36" s="38">
        <v>161633</v>
      </c>
      <c r="K36" s="38">
        <v>0</v>
      </c>
      <c r="L36" s="38"/>
      <c r="M36" s="38">
        <v>13970</v>
      </c>
      <c r="N36" s="38">
        <f t="shared" si="0"/>
        <v>147663</v>
      </c>
      <c r="O36" s="145" t="s">
        <v>170</v>
      </c>
      <c r="P36" s="102">
        <v>239179000</v>
      </c>
      <c r="Q36" s="283"/>
    </row>
    <row r="37" spans="1:17" ht="79.5" customHeight="1">
      <c r="A37" s="138">
        <v>28</v>
      </c>
      <c r="B37" s="172" t="s">
        <v>130</v>
      </c>
      <c r="C37" s="139" t="s">
        <v>289</v>
      </c>
      <c r="D37" s="145" t="s">
        <v>166</v>
      </c>
      <c r="E37" s="173" t="s">
        <v>8</v>
      </c>
      <c r="F37" s="174">
        <v>1004</v>
      </c>
      <c r="G37" s="144">
        <v>96.5</v>
      </c>
      <c r="H37" s="227">
        <v>0.9955</v>
      </c>
      <c r="I37" s="227">
        <v>0.8402</v>
      </c>
      <c r="J37" s="142">
        <v>4817771</v>
      </c>
      <c r="K37" s="142">
        <v>2866698</v>
      </c>
      <c r="L37" s="142"/>
      <c r="M37" s="142">
        <v>97170</v>
      </c>
      <c r="N37" s="38">
        <f t="shared" si="0"/>
        <v>1853903</v>
      </c>
      <c r="O37" s="231">
        <v>2021</v>
      </c>
      <c r="P37" s="102">
        <f>894374213/4.8</f>
        <v>186327961.0416667</v>
      </c>
      <c r="Q37" s="283"/>
    </row>
    <row r="38" spans="1:17" ht="79.5" customHeight="1">
      <c r="A38" s="138">
        <v>29</v>
      </c>
      <c r="B38" s="172" t="s">
        <v>131</v>
      </c>
      <c r="C38" s="139" t="s">
        <v>289</v>
      </c>
      <c r="D38" s="145" t="s">
        <v>166</v>
      </c>
      <c r="E38" s="173" t="s">
        <v>8</v>
      </c>
      <c r="F38" s="174">
        <v>1003</v>
      </c>
      <c r="G38" s="141">
        <v>96.5</v>
      </c>
      <c r="H38" s="227">
        <v>0.98</v>
      </c>
      <c r="I38" s="227">
        <v>0.8601</v>
      </c>
      <c r="J38" s="142">
        <v>3415247</v>
      </c>
      <c r="K38" s="142">
        <v>2905983</v>
      </c>
      <c r="L38" s="142"/>
      <c r="M38" s="142">
        <v>129112</v>
      </c>
      <c r="N38" s="38">
        <f t="shared" si="0"/>
        <v>380152</v>
      </c>
      <c r="O38" s="143">
        <v>2021</v>
      </c>
      <c r="P38" s="102">
        <f>374431594/4.8</f>
        <v>78006582.08333334</v>
      </c>
      <c r="Q38" s="283"/>
    </row>
    <row r="39" spans="1:17" ht="79.5" customHeight="1">
      <c r="A39" s="138">
        <v>30</v>
      </c>
      <c r="B39" s="39" t="s">
        <v>263</v>
      </c>
      <c r="C39" s="104" t="s">
        <v>264</v>
      </c>
      <c r="D39" s="104" t="s">
        <v>264</v>
      </c>
      <c r="E39" s="139" t="s">
        <v>8</v>
      </c>
      <c r="F39" s="166">
        <v>13441</v>
      </c>
      <c r="G39" s="141">
        <v>96</v>
      </c>
      <c r="H39" s="227">
        <v>0</v>
      </c>
      <c r="I39" s="227">
        <v>0.0087</v>
      </c>
      <c r="J39" s="38">
        <v>237420</v>
      </c>
      <c r="K39" s="38">
        <v>2060</v>
      </c>
      <c r="L39" s="38"/>
      <c r="M39" s="38">
        <v>99628</v>
      </c>
      <c r="N39" s="38">
        <f t="shared" si="0"/>
        <v>135732</v>
      </c>
      <c r="O39" s="104" t="s">
        <v>265</v>
      </c>
      <c r="P39" s="142">
        <v>31784664</v>
      </c>
      <c r="Q39" s="283"/>
    </row>
    <row r="40" spans="1:17" ht="79.5" customHeight="1">
      <c r="A40" s="138">
        <v>31</v>
      </c>
      <c r="B40" s="167" t="s">
        <v>300</v>
      </c>
      <c r="C40" s="31" t="s">
        <v>290</v>
      </c>
      <c r="D40" s="145" t="s">
        <v>301</v>
      </c>
      <c r="E40" s="31" t="s">
        <v>8</v>
      </c>
      <c r="F40" s="164">
        <v>1107</v>
      </c>
      <c r="G40" s="144">
        <v>96</v>
      </c>
      <c r="H40" s="226">
        <v>0</v>
      </c>
      <c r="I40" s="227">
        <v>0</v>
      </c>
      <c r="J40" s="38">
        <v>138041</v>
      </c>
      <c r="K40" s="38">
        <v>124</v>
      </c>
      <c r="L40" s="38"/>
      <c r="M40" s="38">
        <v>1</v>
      </c>
      <c r="N40" s="38">
        <f t="shared" si="0"/>
        <v>137916</v>
      </c>
      <c r="O40" s="145" t="s">
        <v>169</v>
      </c>
      <c r="P40" s="102">
        <f>71978460/4.9</f>
        <v>14689481.63265306</v>
      </c>
      <c r="Q40" s="283" t="s">
        <v>346</v>
      </c>
    </row>
    <row r="41" spans="1:17" ht="79.5" customHeight="1">
      <c r="A41" s="138">
        <v>32</v>
      </c>
      <c r="B41" s="167" t="s">
        <v>284</v>
      </c>
      <c r="C41" s="139" t="s">
        <v>289</v>
      </c>
      <c r="D41" s="145" t="s">
        <v>167</v>
      </c>
      <c r="E41" s="31" t="s">
        <v>12</v>
      </c>
      <c r="F41" s="143">
        <v>11176</v>
      </c>
      <c r="G41" s="144">
        <v>96</v>
      </c>
      <c r="H41" s="226">
        <v>0</v>
      </c>
      <c r="I41" s="227">
        <v>0</v>
      </c>
      <c r="J41" s="38">
        <v>113933</v>
      </c>
      <c r="K41" s="38">
        <v>0</v>
      </c>
      <c r="L41" s="38"/>
      <c r="M41" s="38">
        <v>23592</v>
      </c>
      <c r="N41" s="38">
        <f t="shared" si="0"/>
        <v>90341</v>
      </c>
      <c r="O41" s="145" t="s">
        <v>170</v>
      </c>
      <c r="P41" s="102">
        <f>60699867/4.9</f>
        <v>12387727.959183672</v>
      </c>
      <c r="Q41" s="293"/>
    </row>
    <row r="42" spans="1:17" ht="79.5" customHeight="1">
      <c r="A42" s="138">
        <v>33</v>
      </c>
      <c r="B42" s="172" t="s">
        <v>221</v>
      </c>
      <c r="C42" s="139" t="s">
        <v>289</v>
      </c>
      <c r="D42" s="104" t="s">
        <v>166</v>
      </c>
      <c r="E42" s="173" t="s">
        <v>8</v>
      </c>
      <c r="F42" s="140">
        <v>1265</v>
      </c>
      <c r="G42" s="146">
        <v>95</v>
      </c>
      <c r="H42" s="224">
        <v>0.0114</v>
      </c>
      <c r="I42" s="224">
        <v>0.0244</v>
      </c>
      <c r="J42" s="142">
        <v>8446112</v>
      </c>
      <c r="K42" s="142">
        <v>295972</v>
      </c>
      <c r="L42" s="142"/>
      <c r="M42" s="142">
        <v>1974886</v>
      </c>
      <c r="N42" s="38">
        <f aca="true" t="shared" si="1" ref="N42:N73">J42-K42-M42</f>
        <v>6175254</v>
      </c>
      <c r="O42" s="143">
        <v>2024</v>
      </c>
      <c r="P42" s="102">
        <v>5090879000</v>
      </c>
      <c r="Q42" s="289" t="s">
        <v>364</v>
      </c>
    </row>
    <row r="43" spans="1:17" ht="79.5" customHeight="1">
      <c r="A43" s="138">
        <v>34</v>
      </c>
      <c r="B43" s="167" t="s">
        <v>302</v>
      </c>
      <c r="C43" s="31" t="s">
        <v>290</v>
      </c>
      <c r="D43" s="145" t="s">
        <v>305</v>
      </c>
      <c r="E43" s="31" t="s">
        <v>12</v>
      </c>
      <c r="F43" s="164">
        <v>1108</v>
      </c>
      <c r="G43" s="144">
        <v>95</v>
      </c>
      <c r="H43" s="226">
        <v>0</v>
      </c>
      <c r="I43" s="227">
        <v>0</v>
      </c>
      <c r="J43" s="38">
        <v>404557</v>
      </c>
      <c r="K43" s="38">
        <v>0</v>
      </c>
      <c r="L43" s="38"/>
      <c r="M43" s="38">
        <v>1</v>
      </c>
      <c r="N43" s="38">
        <f t="shared" si="1"/>
        <v>404556</v>
      </c>
      <c r="O43" s="145" t="s">
        <v>170</v>
      </c>
      <c r="P43" s="102">
        <f>472726858.16/4.9</f>
        <v>96474869.0122449</v>
      </c>
      <c r="Q43" s="283" t="s">
        <v>346</v>
      </c>
    </row>
    <row r="44" spans="1:17" ht="79.5" customHeight="1">
      <c r="A44" s="138">
        <v>35</v>
      </c>
      <c r="B44" s="167" t="s">
        <v>303</v>
      </c>
      <c r="C44" s="31" t="s">
        <v>290</v>
      </c>
      <c r="D44" s="145" t="s">
        <v>304</v>
      </c>
      <c r="E44" s="31" t="s">
        <v>12</v>
      </c>
      <c r="F44" s="143">
        <v>1108</v>
      </c>
      <c r="G44" s="144">
        <v>95</v>
      </c>
      <c r="H44" s="226">
        <v>0</v>
      </c>
      <c r="I44" s="227">
        <v>0</v>
      </c>
      <c r="J44" s="38">
        <v>130205</v>
      </c>
      <c r="K44" s="38">
        <v>0</v>
      </c>
      <c r="L44" s="38"/>
      <c r="M44" s="38">
        <v>0</v>
      </c>
      <c r="N44" s="38">
        <f t="shared" si="1"/>
        <v>130205</v>
      </c>
      <c r="O44" s="145" t="s">
        <v>169</v>
      </c>
      <c r="P44" s="102">
        <f>39954005/4.9</f>
        <v>8153878.571428571</v>
      </c>
      <c r="Q44" s="283" t="s">
        <v>346</v>
      </c>
    </row>
    <row r="45" spans="1:17" ht="79.5" customHeight="1">
      <c r="A45" s="138">
        <v>36</v>
      </c>
      <c r="B45" s="167" t="s">
        <v>297</v>
      </c>
      <c r="C45" s="31" t="s">
        <v>78</v>
      </c>
      <c r="D45" s="145" t="s">
        <v>78</v>
      </c>
      <c r="E45" s="31" t="s">
        <v>12</v>
      </c>
      <c r="F45" s="164" t="s">
        <v>81</v>
      </c>
      <c r="G45" s="144">
        <v>95</v>
      </c>
      <c r="H45" s="226">
        <v>0</v>
      </c>
      <c r="I45" s="227">
        <v>0</v>
      </c>
      <c r="J45" s="38">
        <v>111119</v>
      </c>
      <c r="K45" s="38">
        <v>213</v>
      </c>
      <c r="L45" s="38"/>
      <c r="M45" s="38">
        <v>3716</v>
      </c>
      <c r="N45" s="38">
        <f t="shared" si="1"/>
        <v>107190</v>
      </c>
      <c r="O45" s="145" t="s">
        <v>235</v>
      </c>
      <c r="P45" s="102">
        <f>14477896.81/4.9</f>
        <v>2954672.8183673467</v>
      </c>
      <c r="Q45" s="283"/>
    </row>
    <row r="46" spans="1:17" ht="79.5" customHeight="1">
      <c r="A46" s="138">
        <v>37</v>
      </c>
      <c r="B46" s="167" t="s">
        <v>306</v>
      </c>
      <c r="C46" s="31" t="s">
        <v>290</v>
      </c>
      <c r="D46" s="145" t="s">
        <v>307</v>
      </c>
      <c r="E46" s="31" t="s">
        <v>12</v>
      </c>
      <c r="F46" s="143">
        <v>1108</v>
      </c>
      <c r="G46" s="144">
        <v>95</v>
      </c>
      <c r="H46" s="226">
        <v>0</v>
      </c>
      <c r="I46" s="227">
        <v>0</v>
      </c>
      <c r="J46" s="38">
        <v>185263</v>
      </c>
      <c r="K46" s="38">
        <v>0</v>
      </c>
      <c r="L46" s="38"/>
      <c r="M46" s="38">
        <v>0</v>
      </c>
      <c r="N46" s="38">
        <f t="shared" si="1"/>
        <v>185263</v>
      </c>
      <c r="O46" s="145" t="s">
        <v>170</v>
      </c>
      <c r="P46" s="102">
        <v>44285.89</v>
      </c>
      <c r="Q46" s="283" t="s">
        <v>346</v>
      </c>
    </row>
    <row r="47" spans="1:17" ht="79.5" customHeight="1">
      <c r="A47" s="138">
        <v>38</v>
      </c>
      <c r="B47" s="39" t="s">
        <v>171</v>
      </c>
      <c r="C47" s="139" t="s">
        <v>289</v>
      </c>
      <c r="D47" s="145" t="s">
        <v>165</v>
      </c>
      <c r="E47" s="151" t="s">
        <v>8</v>
      </c>
      <c r="F47" s="152">
        <v>1218</v>
      </c>
      <c r="G47" s="141">
        <v>94.5</v>
      </c>
      <c r="H47" s="227">
        <v>0.3501</v>
      </c>
      <c r="I47" s="227">
        <v>0.0182</v>
      </c>
      <c r="J47" s="142">
        <v>18590529</v>
      </c>
      <c r="K47" s="142">
        <v>303440</v>
      </c>
      <c r="L47" s="142"/>
      <c r="M47" s="142">
        <v>476961</v>
      </c>
      <c r="N47" s="38">
        <f t="shared" si="1"/>
        <v>17810128</v>
      </c>
      <c r="O47" s="104" t="s">
        <v>172</v>
      </c>
      <c r="P47" s="102">
        <v>4553071362</v>
      </c>
      <c r="Q47" s="293"/>
    </row>
    <row r="48" spans="1:17" ht="79.5" customHeight="1">
      <c r="A48" s="138">
        <v>39</v>
      </c>
      <c r="B48" s="172" t="s">
        <v>139</v>
      </c>
      <c r="C48" s="139" t="s">
        <v>289</v>
      </c>
      <c r="D48" s="145" t="s">
        <v>166</v>
      </c>
      <c r="E48" s="173" t="s">
        <v>8</v>
      </c>
      <c r="F48" s="140">
        <v>1191</v>
      </c>
      <c r="G48" s="144">
        <v>94.5</v>
      </c>
      <c r="H48" s="227">
        <v>0.4891</v>
      </c>
      <c r="I48" s="227">
        <v>0.4846</v>
      </c>
      <c r="J48" s="142">
        <v>10907080</v>
      </c>
      <c r="K48" s="142">
        <v>4475295</v>
      </c>
      <c r="L48" s="142"/>
      <c r="M48" s="142">
        <v>1881229</v>
      </c>
      <c r="N48" s="38">
        <f t="shared" si="1"/>
        <v>4550556</v>
      </c>
      <c r="O48" s="145" t="s">
        <v>170</v>
      </c>
      <c r="P48" s="102">
        <v>2034988000</v>
      </c>
      <c r="Q48" s="293"/>
    </row>
    <row r="49" spans="1:17" ht="191.25" customHeight="1">
      <c r="A49" s="138">
        <v>40</v>
      </c>
      <c r="B49" s="167" t="s">
        <v>230</v>
      </c>
      <c r="C49" s="139" t="s">
        <v>289</v>
      </c>
      <c r="D49" s="145" t="s">
        <v>165</v>
      </c>
      <c r="E49" s="31" t="s">
        <v>8</v>
      </c>
      <c r="F49" s="143">
        <v>1286</v>
      </c>
      <c r="G49" s="144">
        <v>94</v>
      </c>
      <c r="H49" s="226">
        <v>0</v>
      </c>
      <c r="I49" s="227" t="s">
        <v>261</v>
      </c>
      <c r="J49" s="38">
        <v>719516</v>
      </c>
      <c r="K49" s="38">
        <v>22296</v>
      </c>
      <c r="L49" s="38"/>
      <c r="M49" s="38">
        <v>0</v>
      </c>
      <c r="N49" s="38">
        <f t="shared" si="1"/>
        <v>697220</v>
      </c>
      <c r="O49" s="145" t="s">
        <v>170</v>
      </c>
      <c r="P49" s="102">
        <v>1169334696</v>
      </c>
      <c r="Q49" s="294" t="s">
        <v>389</v>
      </c>
    </row>
    <row r="50" spans="1:17" ht="79.5" customHeight="1">
      <c r="A50" s="138">
        <v>41</v>
      </c>
      <c r="B50" s="175" t="s">
        <v>128</v>
      </c>
      <c r="C50" s="139" t="s">
        <v>289</v>
      </c>
      <c r="D50" s="145" t="s">
        <v>165</v>
      </c>
      <c r="E50" s="148" t="s">
        <v>8</v>
      </c>
      <c r="F50" s="149">
        <v>1256</v>
      </c>
      <c r="G50" s="146">
        <v>94</v>
      </c>
      <c r="H50" s="224">
        <v>0.0966</v>
      </c>
      <c r="I50" s="224">
        <v>0.193</v>
      </c>
      <c r="J50" s="142">
        <v>198327</v>
      </c>
      <c r="K50" s="142">
        <v>32541</v>
      </c>
      <c r="L50" s="142"/>
      <c r="M50" s="142">
        <v>41667</v>
      </c>
      <c r="N50" s="38">
        <f t="shared" si="1"/>
        <v>124119</v>
      </c>
      <c r="O50" s="143">
        <v>2022</v>
      </c>
      <c r="P50" s="102">
        <f>164689083</f>
        <v>164689083</v>
      </c>
      <c r="Q50" s="293"/>
    </row>
    <row r="51" spans="1:17" ht="79.5" customHeight="1">
      <c r="A51" s="138">
        <v>42</v>
      </c>
      <c r="B51" s="39" t="s">
        <v>229</v>
      </c>
      <c r="C51" s="139" t="s">
        <v>289</v>
      </c>
      <c r="D51" s="31" t="s">
        <v>165</v>
      </c>
      <c r="E51" s="31" t="s">
        <v>334</v>
      </c>
      <c r="F51" s="143">
        <v>1285</v>
      </c>
      <c r="G51" s="146">
        <v>94</v>
      </c>
      <c r="H51" s="226">
        <v>0</v>
      </c>
      <c r="I51" s="227">
        <v>0.0059</v>
      </c>
      <c r="J51" s="38">
        <v>883896</v>
      </c>
      <c r="K51" s="38">
        <v>5202</v>
      </c>
      <c r="L51" s="38"/>
      <c r="M51" s="38">
        <v>8106</v>
      </c>
      <c r="N51" s="38">
        <f t="shared" si="1"/>
        <v>870588</v>
      </c>
      <c r="O51" s="145" t="s">
        <v>170</v>
      </c>
      <c r="P51" s="102">
        <v>40106366</v>
      </c>
      <c r="Q51" s="293"/>
    </row>
    <row r="52" spans="1:17" ht="220.5" customHeight="1">
      <c r="A52" s="138">
        <v>43</v>
      </c>
      <c r="B52" s="167" t="s">
        <v>143</v>
      </c>
      <c r="C52" s="139" t="s">
        <v>289</v>
      </c>
      <c r="D52" s="145" t="s">
        <v>167</v>
      </c>
      <c r="E52" s="31" t="s">
        <v>8</v>
      </c>
      <c r="F52" s="143">
        <v>370</v>
      </c>
      <c r="G52" s="144">
        <v>93.5</v>
      </c>
      <c r="H52" s="227" t="s">
        <v>322</v>
      </c>
      <c r="I52" s="227">
        <v>0.9692</v>
      </c>
      <c r="J52" s="38">
        <v>219983</v>
      </c>
      <c r="K52" s="38">
        <v>213217</v>
      </c>
      <c r="L52" s="38"/>
      <c r="M52" s="38">
        <v>1050</v>
      </c>
      <c r="N52" s="38">
        <f t="shared" si="1"/>
        <v>5716</v>
      </c>
      <c r="O52" s="31">
        <v>2021</v>
      </c>
      <c r="P52" s="102">
        <v>160000000</v>
      </c>
      <c r="Q52" s="288" t="s">
        <v>359</v>
      </c>
    </row>
    <row r="53" spans="1:17" ht="79.5" customHeight="1">
      <c r="A53" s="138">
        <v>44</v>
      </c>
      <c r="B53" s="39" t="s">
        <v>194</v>
      </c>
      <c r="C53" s="139" t="s">
        <v>289</v>
      </c>
      <c r="D53" s="104" t="s">
        <v>166</v>
      </c>
      <c r="E53" s="139" t="s">
        <v>8</v>
      </c>
      <c r="F53" s="166">
        <v>1277</v>
      </c>
      <c r="G53" s="141">
        <v>93.5</v>
      </c>
      <c r="H53" s="227">
        <v>0.9995</v>
      </c>
      <c r="I53" s="227">
        <v>0.8388</v>
      </c>
      <c r="J53" s="142">
        <v>583802</v>
      </c>
      <c r="K53" s="142">
        <v>378878</v>
      </c>
      <c r="L53" s="142"/>
      <c r="M53" s="142">
        <v>137264</v>
      </c>
      <c r="N53" s="38">
        <f t="shared" si="1"/>
        <v>67660</v>
      </c>
      <c r="O53" s="104" t="s">
        <v>175</v>
      </c>
      <c r="P53" s="147">
        <v>38858222</v>
      </c>
      <c r="Q53" s="293"/>
    </row>
    <row r="54" spans="1:17" ht="79.5" customHeight="1">
      <c r="A54" s="138">
        <v>45</v>
      </c>
      <c r="B54" s="39" t="s">
        <v>80</v>
      </c>
      <c r="C54" s="139" t="s">
        <v>289</v>
      </c>
      <c r="D54" s="145" t="s">
        <v>165</v>
      </c>
      <c r="E54" s="139" t="s">
        <v>8</v>
      </c>
      <c r="F54" s="140">
        <v>1217</v>
      </c>
      <c r="G54" s="141">
        <v>93</v>
      </c>
      <c r="H54" s="227">
        <v>0.3636</v>
      </c>
      <c r="I54" s="227">
        <v>0.3653</v>
      </c>
      <c r="J54" s="142">
        <v>2593744</v>
      </c>
      <c r="K54" s="142">
        <v>909516</v>
      </c>
      <c r="L54" s="142"/>
      <c r="M54" s="142">
        <v>419947</v>
      </c>
      <c r="N54" s="38">
        <f t="shared" si="1"/>
        <v>1264281</v>
      </c>
      <c r="O54" s="104" t="s">
        <v>170</v>
      </c>
      <c r="P54" s="102">
        <v>477530000</v>
      </c>
      <c r="Q54" s="293"/>
    </row>
    <row r="55" spans="1:17" ht="79.5" customHeight="1">
      <c r="A55" s="138">
        <v>46</v>
      </c>
      <c r="B55" s="167" t="s">
        <v>232</v>
      </c>
      <c r="C55" s="139" t="s">
        <v>289</v>
      </c>
      <c r="D55" s="31" t="s">
        <v>165</v>
      </c>
      <c r="E55" s="31" t="s">
        <v>8</v>
      </c>
      <c r="F55" s="143">
        <v>1288</v>
      </c>
      <c r="G55" s="144">
        <v>93</v>
      </c>
      <c r="H55" s="226">
        <v>0</v>
      </c>
      <c r="I55" s="227">
        <v>0.0334</v>
      </c>
      <c r="J55" s="38">
        <v>259880</v>
      </c>
      <c r="K55" s="38">
        <v>8689</v>
      </c>
      <c r="L55" s="38"/>
      <c r="M55" s="38">
        <v>18564</v>
      </c>
      <c r="N55" s="38">
        <f t="shared" si="1"/>
        <v>232627</v>
      </c>
      <c r="O55" s="145" t="s">
        <v>170</v>
      </c>
      <c r="P55" s="102">
        <v>313728175</v>
      </c>
      <c r="Q55" s="293"/>
    </row>
    <row r="56" spans="1:17" ht="79.5" customHeight="1">
      <c r="A56" s="138">
        <v>47</v>
      </c>
      <c r="B56" s="167" t="s">
        <v>278</v>
      </c>
      <c r="C56" s="139" t="s">
        <v>289</v>
      </c>
      <c r="D56" s="145" t="s">
        <v>165</v>
      </c>
      <c r="E56" s="31" t="s">
        <v>12</v>
      </c>
      <c r="F56" s="143">
        <v>1356</v>
      </c>
      <c r="G56" s="144">
        <v>93</v>
      </c>
      <c r="H56" s="226">
        <v>0</v>
      </c>
      <c r="I56" s="227">
        <v>0</v>
      </c>
      <c r="J56" s="38">
        <v>183114</v>
      </c>
      <c r="K56" s="38">
        <v>0</v>
      </c>
      <c r="L56" s="38"/>
      <c r="M56" s="38">
        <v>0</v>
      </c>
      <c r="N56" s="38">
        <f t="shared" si="1"/>
        <v>183114</v>
      </c>
      <c r="O56" s="145" t="s">
        <v>170</v>
      </c>
      <c r="P56" s="102">
        <v>179983040</v>
      </c>
      <c r="Q56" s="293"/>
    </row>
    <row r="57" spans="1:17" ht="79.5" customHeight="1">
      <c r="A57" s="138">
        <v>48</v>
      </c>
      <c r="B57" s="167" t="s">
        <v>298</v>
      </c>
      <c r="C57" s="31" t="s">
        <v>78</v>
      </c>
      <c r="D57" s="145" t="s">
        <v>78</v>
      </c>
      <c r="E57" s="31" t="s">
        <v>12</v>
      </c>
      <c r="F57" s="164" t="s">
        <v>81</v>
      </c>
      <c r="G57" s="144">
        <v>93</v>
      </c>
      <c r="H57" s="226">
        <v>0</v>
      </c>
      <c r="I57" s="227">
        <v>0</v>
      </c>
      <c r="J57" s="38">
        <v>134846</v>
      </c>
      <c r="K57" s="38">
        <v>298</v>
      </c>
      <c r="L57" s="38"/>
      <c r="M57" s="38">
        <v>1500</v>
      </c>
      <c r="N57" s="38">
        <f t="shared" si="1"/>
        <v>133048</v>
      </c>
      <c r="O57" s="145" t="s">
        <v>249</v>
      </c>
      <c r="P57" s="102">
        <f>252149972/4.9</f>
        <v>51459177.95918367</v>
      </c>
      <c r="Q57" s="293"/>
    </row>
    <row r="58" spans="1:17" ht="79.5" customHeight="1">
      <c r="A58" s="138">
        <v>49</v>
      </c>
      <c r="B58" s="167" t="s">
        <v>222</v>
      </c>
      <c r="C58" s="139" t="s">
        <v>289</v>
      </c>
      <c r="D58" s="31" t="s">
        <v>165</v>
      </c>
      <c r="E58" s="31" t="s">
        <v>8</v>
      </c>
      <c r="F58" s="143">
        <v>1304</v>
      </c>
      <c r="G58" s="144">
        <v>93</v>
      </c>
      <c r="H58" s="226">
        <v>0.0016</v>
      </c>
      <c r="I58" s="227">
        <v>0.1404</v>
      </c>
      <c r="J58" s="38">
        <v>241983</v>
      </c>
      <c r="K58" s="38">
        <v>33980</v>
      </c>
      <c r="L58" s="38"/>
      <c r="M58" s="38">
        <v>30940</v>
      </c>
      <c r="N58" s="38">
        <f t="shared" si="1"/>
        <v>177063</v>
      </c>
      <c r="O58" s="105">
        <v>2023</v>
      </c>
      <c r="P58" s="102">
        <f>40947732</f>
        <v>40947732</v>
      </c>
      <c r="Q58" s="284"/>
    </row>
    <row r="59" spans="1:17" ht="286.5" customHeight="1">
      <c r="A59" s="138">
        <v>50</v>
      </c>
      <c r="B59" s="167" t="s">
        <v>225</v>
      </c>
      <c r="C59" s="104" t="s">
        <v>290</v>
      </c>
      <c r="D59" s="145" t="s">
        <v>293</v>
      </c>
      <c r="E59" s="31" t="s">
        <v>8</v>
      </c>
      <c r="F59" s="143">
        <v>1107</v>
      </c>
      <c r="G59" s="144">
        <v>93</v>
      </c>
      <c r="H59" s="226">
        <v>0.45</v>
      </c>
      <c r="I59" s="227">
        <v>0.08</v>
      </c>
      <c r="J59" s="38">
        <v>111554</v>
      </c>
      <c r="K59" s="38">
        <v>8830</v>
      </c>
      <c r="L59" s="38"/>
      <c r="M59" s="38">
        <v>41439</v>
      </c>
      <c r="N59" s="38">
        <f t="shared" si="1"/>
        <v>61285</v>
      </c>
      <c r="O59" s="145" t="s">
        <v>169</v>
      </c>
      <c r="P59" s="102">
        <f>11519734.08/4.8</f>
        <v>2399944.6</v>
      </c>
      <c r="Q59" s="294" t="s">
        <v>345</v>
      </c>
    </row>
    <row r="60" spans="1:17" ht="79.5" customHeight="1">
      <c r="A60" s="138">
        <v>51</v>
      </c>
      <c r="B60" s="167" t="s">
        <v>241</v>
      </c>
      <c r="C60" s="104" t="s">
        <v>290</v>
      </c>
      <c r="D60" s="145" t="s">
        <v>294</v>
      </c>
      <c r="E60" s="31" t="s">
        <v>8</v>
      </c>
      <c r="F60" s="143">
        <v>1107</v>
      </c>
      <c r="G60" s="144">
        <v>93</v>
      </c>
      <c r="H60" s="226">
        <v>0.02</v>
      </c>
      <c r="I60" s="227">
        <v>0.023</v>
      </c>
      <c r="J60" s="38">
        <v>119130</v>
      </c>
      <c r="K60" s="38">
        <v>2498</v>
      </c>
      <c r="L60" s="38"/>
      <c r="M60" s="38">
        <v>22500</v>
      </c>
      <c r="N60" s="38">
        <f t="shared" si="1"/>
        <v>94132</v>
      </c>
      <c r="O60" s="145" t="s">
        <v>169</v>
      </c>
      <c r="P60" s="102">
        <f>7815000/4.8</f>
        <v>1628125</v>
      </c>
      <c r="Q60" s="284"/>
    </row>
    <row r="61" spans="1:17" ht="79.5" customHeight="1">
      <c r="A61" s="138">
        <v>52</v>
      </c>
      <c r="B61" s="175" t="s">
        <v>71</v>
      </c>
      <c r="C61" s="139" t="s">
        <v>289</v>
      </c>
      <c r="D61" s="145" t="s">
        <v>165</v>
      </c>
      <c r="E61" s="148" t="s">
        <v>8</v>
      </c>
      <c r="F61" s="149">
        <v>718</v>
      </c>
      <c r="G61" s="144">
        <v>90.5</v>
      </c>
      <c r="H61" s="227">
        <v>0.244</v>
      </c>
      <c r="I61" s="227">
        <v>0.2588</v>
      </c>
      <c r="J61" s="38">
        <v>522449</v>
      </c>
      <c r="K61" s="38">
        <v>126252</v>
      </c>
      <c r="L61" s="38"/>
      <c r="M61" s="38">
        <v>89718</v>
      </c>
      <c r="N61" s="38">
        <f t="shared" si="1"/>
        <v>306479</v>
      </c>
      <c r="O61" s="232">
        <v>2022</v>
      </c>
      <c r="P61" s="38">
        <v>478345930</v>
      </c>
      <c r="Q61" s="284"/>
    </row>
    <row r="62" spans="1:17" ht="79.5" customHeight="1">
      <c r="A62" s="138">
        <v>53</v>
      </c>
      <c r="B62" s="167" t="s">
        <v>21</v>
      </c>
      <c r="C62" s="139" t="s">
        <v>289</v>
      </c>
      <c r="D62" s="145" t="s">
        <v>165</v>
      </c>
      <c r="E62" s="31" t="s">
        <v>8</v>
      </c>
      <c r="F62" s="143">
        <v>1042</v>
      </c>
      <c r="G62" s="146">
        <v>90.5</v>
      </c>
      <c r="H62" s="223">
        <v>0.4</v>
      </c>
      <c r="I62" s="227">
        <v>0.212</v>
      </c>
      <c r="J62" s="38">
        <v>453532</v>
      </c>
      <c r="K62" s="38">
        <v>94625</v>
      </c>
      <c r="L62" s="38"/>
      <c r="M62" s="38">
        <v>59342</v>
      </c>
      <c r="N62" s="38">
        <f t="shared" si="1"/>
        <v>299565</v>
      </c>
      <c r="O62" s="145" t="s">
        <v>367</v>
      </c>
      <c r="P62" s="147">
        <v>167688000</v>
      </c>
      <c r="Q62" s="284"/>
    </row>
    <row r="63" spans="1:17" ht="79.5" customHeight="1">
      <c r="A63" s="138">
        <v>54</v>
      </c>
      <c r="B63" s="167" t="s">
        <v>207</v>
      </c>
      <c r="C63" s="139" t="s">
        <v>289</v>
      </c>
      <c r="D63" s="145" t="s">
        <v>168</v>
      </c>
      <c r="E63" s="31" t="s">
        <v>8</v>
      </c>
      <c r="F63" s="143">
        <v>828</v>
      </c>
      <c r="G63" s="144">
        <v>90</v>
      </c>
      <c r="H63" s="227">
        <v>0</v>
      </c>
      <c r="I63" s="227">
        <v>0.023</v>
      </c>
      <c r="J63" s="38">
        <v>6433979</v>
      </c>
      <c r="K63" s="38">
        <v>135901</v>
      </c>
      <c r="L63" s="38"/>
      <c r="M63" s="38">
        <v>352525</v>
      </c>
      <c r="N63" s="38">
        <f t="shared" si="1"/>
        <v>5945553</v>
      </c>
      <c r="O63" s="145" t="s">
        <v>249</v>
      </c>
      <c r="P63" s="102">
        <f>1463.83*1000000</f>
        <v>1463830000</v>
      </c>
      <c r="Q63" s="290"/>
    </row>
    <row r="64" spans="1:17" ht="79.5" customHeight="1">
      <c r="A64" s="138">
        <v>55</v>
      </c>
      <c r="B64" s="167" t="s">
        <v>313</v>
      </c>
      <c r="C64" s="104" t="s">
        <v>28</v>
      </c>
      <c r="D64" s="31" t="s">
        <v>314</v>
      </c>
      <c r="E64" s="31" t="s">
        <v>12</v>
      </c>
      <c r="F64" s="163" t="s">
        <v>81</v>
      </c>
      <c r="G64" s="144">
        <v>90</v>
      </c>
      <c r="H64" s="226">
        <v>0</v>
      </c>
      <c r="I64" s="227">
        <v>0.0023</v>
      </c>
      <c r="J64" s="38">
        <v>635000</v>
      </c>
      <c r="K64" s="38">
        <v>1486</v>
      </c>
      <c r="L64" s="38"/>
      <c r="M64" s="38">
        <v>11884</v>
      </c>
      <c r="N64" s="38">
        <f t="shared" si="1"/>
        <v>621630</v>
      </c>
      <c r="O64" s="145" t="s">
        <v>249</v>
      </c>
      <c r="P64" s="102">
        <f>88682071/4.9</f>
        <v>18098381.836734693</v>
      </c>
      <c r="Q64" s="283" t="s">
        <v>417</v>
      </c>
    </row>
    <row r="65" spans="1:17" ht="79.5" customHeight="1">
      <c r="A65" s="138">
        <v>56</v>
      </c>
      <c r="B65" s="167" t="s">
        <v>315</v>
      </c>
      <c r="C65" s="104" t="s">
        <v>28</v>
      </c>
      <c r="D65" s="31" t="s">
        <v>314</v>
      </c>
      <c r="E65" s="31" t="s">
        <v>12</v>
      </c>
      <c r="F65" s="163" t="s">
        <v>81</v>
      </c>
      <c r="G65" s="144">
        <v>90</v>
      </c>
      <c r="H65" s="226">
        <v>0</v>
      </c>
      <c r="I65" s="227">
        <v>0.0045</v>
      </c>
      <c r="J65" s="38">
        <v>234601</v>
      </c>
      <c r="K65" s="38">
        <v>1063</v>
      </c>
      <c r="L65" s="38"/>
      <c r="M65" s="38">
        <v>7107</v>
      </c>
      <c r="N65" s="38">
        <f t="shared" si="1"/>
        <v>226431</v>
      </c>
      <c r="O65" s="145" t="s">
        <v>249</v>
      </c>
      <c r="P65" s="102">
        <f>8607299/4.9</f>
        <v>1756591.632653061</v>
      </c>
      <c r="Q65" s="283" t="s">
        <v>417</v>
      </c>
    </row>
    <row r="66" spans="1:17" ht="243.75" customHeight="1">
      <c r="A66" s="138">
        <v>57</v>
      </c>
      <c r="B66" s="176" t="s">
        <v>136</v>
      </c>
      <c r="C66" s="139" t="s">
        <v>289</v>
      </c>
      <c r="D66" s="145" t="s">
        <v>165</v>
      </c>
      <c r="E66" s="153" t="s">
        <v>8</v>
      </c>
      <c r="F66" s="152">
        <v>371</v>
      </c>
      <c r="G66" s="144">
        <v>89.5</v>
      </c>
      <c r="H66" s="224">
        <v>0</v>
      </c>
      <c r="I66" s="224">
        <v>0.0239</v>
      </c>
      <c r="J66" s="142">
        <v>4238477</v>
      </c>
      <c r="K66" s="142">
        <v>31844</v>
      </c>
      <c r="L66" s="142"/>
      <c r="M66" s="142">
        <v>91429</v>
      </c>
      <c r="N66" s="38">
        <f t="shared" si="1"/>
        <v>4115204</v>
      </c>
      <c r="O66" s="104" t="s">
        <v>170</v>
      </c>
      <c r="P66" s="102">
        <v>124590000</v>
      </c>
      <c r="Q66" s="484" t="s">
        <v>390</v>
      </c>
    </row>
    <row r="67" spans="1:17" ht="87" customHeight="1">
      <c r="A67" s="138">
        <v>58</v>
      </c>
      <c r="B67" s="167" t="s">
        <v>279</v>
      </c>
      <c r="C67" s="139" t="s">
        <v>289</v>
      </c>
      <c r="D67" s="145" t="s">
        <v>165</v>
      </c>
      <c r="E67" s="31" t="s">
        <v>12</v>
      </c>
      <c r="F67" s="163" t="s">
        <v>81</v>
      </c>
      <c r="G67" s="144">
        <v>89.25</v>
      </c>
      <c r="H67" s="226">
        <v>0</v>
      </c>
      <c r="I67" s="227">
        <v>0</v>
      </c>
      <c r="J67" s="38">
        <v>366008</v>
      </c>
      <c r="K67" s="38">
        <v>0</v>
      </c>
      <c r="L67" s="38"/>
      <c r="M67" s="38">
        <v>0</v>
      </c>
      <c r="N67" s="38">
        <f t="shared" si="1"/>
        <v>366008</v>
      </c>
      <c r="O67" s="145" t="s">
        <v>235</v>
      </c>
      <c r="P67" s="102">
        <v>146600</v>
      </c>
      <c r="Q67" s="284"/>
    </row>
    <row r="68" spans="1:17" ht="87" customHeight="1">
      <c r="A68" s="138">
        <v>59</v>
      </c>
      <c r="B68" s="167" t="s">
        <v>22</v>
      </c>
      <c r="C68" s="139" t="s">
        <v>289</v>
      </c>
      <c r="D68" s="145" t="s">
        <v>165</v>
      </c>
      <c r="E68" s="31" t="s">
        <v>8</v>
      </c>
      <c r="F68" s="143">
        <v>909</v>
      </c>
      <c r="G68" s="144">
        <v>89</v>
      </c>
      <c r="H68" s="226">
        <v>0.9684</v>
      </c>
      <c r="I68" s="227">
        <v>0.7686</v>
      </c>
      <c r="J68" s="38">
        <v>1174445</v>
      </c>
      <c r="K68" s="38">
        <v>849718</v>
      </c>
      <c r="L68" s="38"/>
      <c r="M68" s="38">
        <v>84246</v>
      </c>
      <c r="N68" s="38">
        <f t="shared" si="1"/>
        <v>240481</v>
      </c>
      <c r="O68" s="145" t="s">
        <v>204</v>
      </c>
      <c r="P68" s="147">
        <v>60571000</v>
      </c>
      <c r="Q68" s="284" t="s">
        <v>338</v>
      </c>
    </row>
    <row r="69" spans="1:17" ht="87" customHeight="1">
      <c r="A69" s="138">
        <v>60</v>
      </c>
      <c r="B69" s="177" t="s">
        <v>132</v>
      </c>
      <c r="C69" s="139" t="s">
        <v>289</v>
      </c>
      <c r="D69" s="145" t="s">
        <v>165</v>
      </c>
      <c r="E69" s="148" t="s">
        <v>8</v>
      </c>
      <c r="F69" s="149">
        <v>1225</v>
      </c>
      <c r="G69" s="141">
        <v>89</v>
      </c>
      <c r="H69" s="227">
        <v>0</v>
      </c>
      <c r="I69" s="227">
        <v>0.1756</v>
      </c>
      <c r="J69" s="142">
        <v>365956</v>
      </c>
      <c r="K69" s="142">
        <v>32131</v>
      </c>
      <c r="L69" s="142"/>
      <c r="M69" s="142">
        <v>61874</v>
      </c>
      <c r="N69" s="38">
        <f t="shared" si="1"/>
        <v>271951</v>
      </c>
      <c r="O69" s="143">
        <v>2023</v>
      </c>
      <c r="P69" s="102">
        <v>2866695</v>
      </c>
      <c r="Q69" s="284"/>
    </row>
    <row r="70" spans="1:17" ht="87" customHeight="1">
      <c r="A70" s="138">
        <v>61</v>
      </c>
      <c r="B70" s="175" t="s">
        <v>127</v>
      </c>
      <c r="C70" s="139" t="s">
        <v>289</v>
      </c>
      <c r="D70" s="145" t="s">
        <v>165</v>
      </c>
      <c r="E70" s="148" t="s">
        <v>8</v>
      </c>
      <c r="F70" s="149">
        <v>1188</v>
      </c>
      <c r="G70" s="141">
        <v>89</v>
      </c>
      <c r="H70" s="227">
        <v>0.2581</v>
      </c>
      <c r="I70" s="227">
        <v>0.1703</v>
      </c>
      <c r="J70" s="142">
        <v>4972635</v>
      </c>
      <c r="K70" s="142">
        <v>783364</v>
      </c>
      <c r="L70" s="142"/>
      <c r="M70" s="142">
        <v>763481</v>
      </c>
      <c r="N70" s="38">
        <f t="shared" si="1"/>
        <v>3425790</v>
      </c>
      <c r="O70" s="231">
        <v>2023</v>
      </c>
      <c r="P70" s="141">
        <v>10.6</v>
      </c>
      <c r="Q70" s="284"/>
    </row>
    <row r="71" spans="1:17" ht="87" customHeight="1">
      <c r="A71" s="138">
        <v>62</v>
      </c>
      <c r="B71" s="169" t="s">
        <v>14</v>
      </c>
      <c r="C71" s="139" t="s">
        <v>296</v>
      </c>
      <c r="D71" s="145" t="s">
        <v>296</v>
      </c>
      <c r="E71" s="148" t="s">
        <v>8</v>
      </c>
      <c r="F71" s="149">
        <v>1125</v>
      </c>
      <c r="G71" s="141">
        <v>88.5</v>
      </c>
      <c r="H71" s="227">
        <v>0.977</v>
      </c>
      <c r="I71" s="227">
        <v>0.928</v>
      </c>
      <c r="J71" s="142">
        <v>334226</v>
      </c>
      <c r="K71" s="142">
        <v>276909</v>
      </c>
      <c r="L71" s="142"/>
      <c r="M71" s="142">
        <v>57187</v>
      </c>
      <c r="N71" s="38">
        <f t="shared" si="1"/>
        <v>130</v>
      </c>
      <c r="O71" s="233" t="s">
        <v>348</v>
      </c>
      <c r="P71" s="102">
        <v>36235436</v>
      </c>
      <c r="Q71" s="295" t="s">
        <v>349</v>
      </c>
    </row>
    <row r="72" spans="1:17" ht="87" customHeight="1">
      <c r="A72" s="138">
        <v>63</v>
      </c>
      <c r="B72" s="167" t="s">
        <v>140</v>
      </c>
      <c r="C72" s="104" t="s">
        <v>290</v>
      </c>
      <c r="D72" s="145" t="s">
        <v>292</v>
      </c>
      <c r="E72" s="31" t="s">
        <v>8</v>
      </c>
      <c r="F72" s="31">
        <v>1107</v>
      </c>
      <c r="G72" s="144">
        <v>88.5</v>
      </c>
      <c r="H72" s="227">
        <v>0.9</v>
      </c>
      <c r="I72" s="227">
        <v>0.61</v>
      </c>
      <c r="J72" s="38">
        <v>186911</v>
      </c>
      <c r="K72" s="38">
        <v>104414</v>
      </c>
      <c r="L72" s="38"/>
      <c r="M72" s="38">
        <v>48889</v>
      </c>
      <c r="N72" s="38">
        <f t="shared" si="1"/>
        <v>33608</v>
      </c>
      <c r="O72" s="143">
        <v>2021</v>
      </c>
      <c r="P72" s="102">
        <f>34772579/4.8</f>
        <v>7244287.291666667</v>
      </c>
      <c r="Q72" s="284" t="s">
        <v>240</v>
      </c>
    </row>
    <row r="73" spans="1:17" ht="87" customHeight="1">
      <c r="A73" s="138">
        <v>64</v>
      </c>
      <c r="B73" s="178" t="s">
        <v>133</v>
      </c>
      <c r="C73" s="139" t="s">
        <v>289</v>
      </c>
      <c r="D73" s="145" t="s">
        <v>167</v>
      </c>
      <c r="E73" s="179" t="s">
        <v>8</v>
      </c>
      <c r="F73" s="180">
        <v>1296</v>
      </c>
      <c r="G73" s="141">
        <v>88</v>
      </c>
      <c r="H73" s="227">
        <v>0.0023</v>
      </c>
      <c r="I73" s="227">
        <v>0.0023</v>
      </c>
      <c r="J73" s="142">
        <v>374047</v>
      </c>
      <c r="K73" s="142">
        <v>630</v>
      </c>
      <c r="L73" s="142"/>
      <c r="M73" s="142">
        <v>19078</v>
      </c>
      <c r="N73" s="38">
        <f t="shared" si="1"/>
        <v>354339</v>
      </c>
      <c r="O73" s="143">
        <v>2025</v>
      </c>
      <c r="P73" s="147">
        <v>82740000</v>
      </c>
      <c r="Q73" s="284"/>
    </row>
    <row r="74" spans="1:17" ht="87" customHeight="1">
      <c r="A74" s="138">
        <v>65</v>
      </c>
      <c r="B74" s="167" t="s">
        <v>233</v>
      </c>
      <c r="C74" s="139" t="s">
        <v>289</v>
      </c>
      <c r="D74" s="145" t="s">
        <v>165</v>
      </c>
      <c r="E74" s="31" t="s">
        <v>8</v>
      </c>
      <c r="F74" s="143">
        <v>1297</v>
      </c>
      <c r="G74" s="144">
        <v>88</v>
      </c>
      <c r="H74" s="226">
        <v>0</v>
      </c>
      <c r="I74" s="227">
        <v>0</v>
      </c>
      <c r="J74" s="38">
        <v>261075</v>
      </c>
      <c r="K74" s="38">
        <v>0</v>
      </c>
      <c r="L74" s="38"/>
      <c r="M74" s="38">
        <v>8000</v>
      </c>
      <c r="N74" s="38">
        <f aca="true" t="shared" si="2" ref="N74:N104">J74-K74-M74</f>
        <v>253075</v>
      </c>
      <c r="O74" s="145" t="s">
        <v>235</v>
      </c>
      <c r="P74" s="102">
        <v>12135864</v>
      </c>
      <c r="Q74" s="284"/>
    </row>
    <row r="75" spans="1:17" ht="129.75" customHeight="1">
      <c r="A75" s="138">
        <v>66</v>
      </c>
      <c r="B75" s="167" t="s">
        <v>248</v>
      </c>
      <c r="C75" s="139" t="s">
        <v>289</v>
      </c>
      <c r="D75" s="31" t="s">
        <v>167</v>
      </c>
      <c r="E75" s="31" t="s">
        <v>8</v>
      </c>
      <c r="F75" s="143">
        <v>16702</v>
      </c>
      <c r="G75" s="144">
        <v>87.5</v>
      </c>
      <c r="H75" s="226">
        <v>0</v>
      </c>
      <c r="I75" s="227">
        <v>0.0227</v>
      </c>
      <c r="J75" s="38">
        <v>455120</v>
      </c>
      <c r="K75" s="38">
        <v>10340</v>
      </c>
      <c r="L75" s="38"/>
      <c r="M75" s="38">
        <v>20961</v>
      </c>
      <c r="N75" s="38">
        <f t="shared" si="2"/>
        <v>423819</v>
      </c>
      <c r="O75" s="145" t="s">
        <v>235</v>
      </c>
      <c r="P75" s="102">
        <f>490681494/4.8</f>
        <v>102225311.25</v>
      </c>
      <c r="Q75" s="288" t="s">
        <v>440</v>
      </c>
    </row>
    <row r="76" spans="1:17" ht="87" customHeight="1">
      <c r="A76" s="138">
        <v>67</v>
      </c>
      <c r="B76" s="169" t="s">
        <v>183</v>
      </c>
      <c r="C76" s="104" t="s">
        <v>239</v>
      </c>
      <c r="D76" s="145" t="s">
        <v>190</v>
      </c>
      <c r="E76" s="31" t="s">
        <v>8</v>
      </c>
      <c r="F76" s="31">
        <v>298</v>
      </c>
      <c r="G76" s="141">
        <v>86.5</v>
      </c>
      <c r="H76" s="227">
        <v>0.507</v>
      </c>
      <c r="I76" s="227">
        <v>0.507</v>
      </c>
      <c r="J76" s="38">
        <v>765166</v>
      </c>
      <c r="K76" s="38">
        <v>388099</v>
      </c>
      <c r="L76" s="38"/>
      <c r="M76" s="38">
        <v>0</v>
      </c>
      <c r="N76" s="38">
        <f t="shared" si="2"/>
        <v>377067</v>
      </c>
      <c r="O76" s="143">
        <v>2025</v>
      </c>
      <c r="P76" s="102">
        <v>429604</v>
      </c>
      <c r="Q76" s="284"/>
    </row>
    <row r="77" spans="1:17" ht="87" customHeight="1">
      <c r="A77" s="138">
        <v>68</v>
      </c>
      <c r="B77" s="169" t="s">
        <v>184</v>
      </c>
      <c r="C77" s="104" t="s">
        <v>239</v>
      </c>
      <c r="D77" s="145" t="s">
        <v>190</v>
      </c>
      <c r="E77" s="31" t="s">
        <v>8</v>
      </c>
      <c r="F77" s="143">
        <v>277</v>
      </c>
      <c r="G77" s="144">
        <v>86.5</v>
      </c>
      <c r="H77" s="227">
        <v>0.77</v>
      </c>
      <c r="I77" s="227">
        <v>0.73</v>
      </c>
      <c r="J77" s="38">
        <v>460589</v>
      </c>
      <c r="K77" s="38">
        <v>337397</v>
      </c>
      <c r="L77" s="38"/>
      <c r="M77" s="38">
        <v>20000</v>
      </c>
      <c r="N77" s="38">
        <f t="shared" si="2"/>
        <v>103192</v>
      </c>
      <c r="O77" s="31">
        <v>2025</v>
      </c>
      <c r="P77" s="102" t="s">
        <v>176</v>
      </c>
      <c r="Q77" s="284"/>
    </row>
    <row r="78" spans="1:17" ht="87" customHeight="1">
      <c r="A78" s="138">
        <v>69</v>
      </c>
      <c r="B78" s="175" t="s">
        <v>70</v>
      </c>
      <c r="C78" s="139" t="s">
        <v>289</v>
      </c>
      <c r="D78" s="145" t="s">
        <v>165</v>
      </c>
      <c r="E78" s="148" t="s">
        <v>8</v>
      </c>
      <c r="F78" s="149">
        <v>1163</v>
      </c>
      <c r="G78" s="141">
        <v>85.5</v>
      </c>
      <c r="H78" s="227">
        <v>0.145</v>
      </c>
      <c r="I78" s="227">
        <v>0.091</v>
      </c>
      <c r="J78" s="142">
        <v>202712</v>
      </c>
      <c r="K78" s="142">
        <v>14734</v>
      </c>
      <c r="L78" s="142"/>
      <c r="M78" s="142">
        <v>53768</v>
      </c>
      <c r="N78" s="38">
        <f t="shared" si="2"/>
        <v>134210</v>
      </c>
      <c r="O78" s="139">
        <v>2023</v>
      </c>
      <c r="P78" s="102">
        <v>102170000</v>
      </c>
      <c r="Q78" s="284"/>
    </row>
    <row r="79" spans="1:17" ht="87" customHeight="1">
      <c r="A79" s="138">
        <v>70</v>
      </c>
      <c r="B79" s="167" t="s">
        <v>35</v>
      </c>
      <c r="C79" s="139" t="s">
        <v>289</v>
      </c>
      <c r="D79" s="145" t="s">
        <v>165</v>
      </c>
      <c r="E79" s="31" t="s">
        <v>8</v>
      </c>
      <c r="F79" s="143">
        <v>1001</v>
      </c>
      <c r="G79" s="141">
        <v>84.5</v>
      </c>
      <c r="H79" s="224">
        <v>0.6</v>
      </c>
      <c r="I79" s="224">
        <v>0.0366</v>
      </c>
      <c r="J79" s="102">
        <v>198921</v>
      </c>
      <c r="K79" s="102">
        <v>7138</v>
      </c>
      <c r="L79" s="102"/>
      <c r="M79" s="102">
        <v>15352</v>
      </c>
      <c r="N79" s="38">
        <f t="shared" si="2"/>
        <v>176431</v>
      </c>
      <c r="O79" s="31" t="s">
        <v>330</v>
      </c>
      <c r="P79" s="147">
        <v>851789240</v>
      </c>
      <c r="Q79" s="284" t="s">
        <v>339</v>
      </c>
    </row>
    <row r="80" spans="1:17" ht="87" customHeight="1">
      <c r="A80" s="138">
        <v>71</v>
      </c>
      <c r="B80" s="167" t="s">
        <v>25</v>
      </c>
      <c r="C80" s="139" t="s">
        <v>289</v>
      </c>
      <c r="D80" s="145" t="s">
        <v>165</v>
      </c>
      <c r="E80" s="31" t="s">
        <v>8</v>
      </c>
      <c r="F80" s="143">
        <v>983</v>
      </c>
      <c r="G80" s="141">
        <v>84.5</v>
      </c>
      <c r="H80" s="224">
        <v>0.7129</v>
      </c>
      <c r="I80" s="227">
        <v>0.4476</v>
      </c>
      <c r="J80" s="38">
        <v>873848</v>
      </c>
      <c r="K80" s="38">
        <v>390404</v>
      </c>
      <c r="L80" s="38"/>
      <c r="M80" s="38">
        <v>18414</v>
      </c>
      <c r="N80" s="38">
        <f t="shared" si="2"/>
        <v>465030</v>
      </c>
      <c r="O80" s="143" t="s">
        <v>256</v>
      </c>
      <c r="P80" s="147">
        <v>156750000</v>
      </c>
      <c r="Q80" s="284"/>
    </row>
    <row r="81" spans="1:17" ht="87" customHeight="1">
      <c r="A81" s="138">
        <v>72</v>
      </c>
      <c r="B81" s="167" t="s">
        <v>52</v>
      </c>
      <c r="C81" s="139" t="s">
        <v>289</v>
      </c>
      <c r="D81" s="145" t="s">
        <v>165</v>
      </c>
      <c r="E81" s="31" t="s">
        <v>8</v>
      </c>
      <c r="F81" s="143">
        <v>418</v>
      </c>
      <c r="G81" s="141">
        <v>84.5</v>
      </c>
      <c r="H81" s="226">
        <v>0.98</v>
      </c>
      <c r="I81" s="227">
        <v>0.6492</v>
      </c>
      <c r="J81" s="38">
        <v>637104</v>
      </c>
      <c r="K81" s="38">
        <v>413623</v>
      </c>
      <c r="L81" s="38"/>
      <c r="M81" s="38">
        <v>0</v>
      </c>
      <c r="N81" s="38">
        <f t="shared" si="2"/>
        <v>223481</v>
      </c>
      <c r="O81" s="31" t="s">
        <v>331</v>
      </c>
      <c r="P81" s="147">
        <v>68340000</v>
      </c>
      <c r="Q81" s="294" t="s">
        <v>211</v>
      </c>
    </row>
    <row r="82" spans="1:17" ht="72" customHeight="1">
      <c r="A82" s="138">
        <v>73</v>
      </c>
      <c r="B82" s="167" t="s">
        <v>30</v>
      </c>
      <c r="C82" s="139" t="s">
        <v>289</v>
      </c>
      <c r="D82" s="145" t="s">
        <v>165</v>
      </c>
      <c r="E82" s="31" t="s">
        <v>8</v>
      </c>
      <c r="F82" s="143">
        <v>369</v>
      </c>
      <c r="G82" s="141">
        <v>84.5</v>
      </c>
      <c r="H82" s="234">
        <v>0.2489</v>
      </c>
      <c r="I82" s="227">
        <v>0.3539</v>
      </c>
      <c r="J82" s="38">
        <v>698153</v>
      </c>
      <c r="K82" s="38">
        <v>246632</v>
      </c>
      <c r="L82" s="38"/>
      <c r="M82" s="38">
        <v>62349</v>
      </c>
      <c r="N82" s="38">
        <f t="shared" si="2"/>
        <v>389172</v>
      </c>
      <c r="O82" s="235" t="s">
        <v>257</v>
      </c>
      <c r="P82" s="235" t="s">
        <v>220</v>
      </c>
      <c r="Q82" s="284" t="s">
        <v>340</v>
      </c>
    </row>
    <row r="83" spans="1:17" ht="179.25" customHeight="1">
      <c r="A83" s="138">
        <v>74</v>
      </c>
      <c r="B83" s="181" t="s">
        <v>33</v>
      </c>
      <c r="C83" s="139" t="s">
        <v>289</v>
      </c>
      <c r="D83" s="145" t="s">
        <v>165</v>
      </c>
      <c r="E83" s="139" t="s">
        <v>8</v>
      </c>
      <c r="F83" s="155">
        <v>415</v>
      </c>
      <c r="G83" s="156">
        <v>84.5</v>
      </c>
      <c r="H83" s="224">
        <v>0.55</v>
      </c>
      <c r="I83" s="224">
        <v>0.2672</v>
      </c>
      <c r="J83" s="142">
        <v>29536341</v>
      </c>
      <c r="K83" s="142">
        <v>7745711</v>
      </c>
      <c r="L83" s="142"/>
      <c r="M83" s="142">
        <v>894519</v>
      </c>
      <c r="N83" s="38">
        <f t="shared" si="2"/>
        <v>20896111</v>
      </c>
      <c r="O83" s="236" t="s">
        <v>371</v>
      </c>
      <c r="P83" s="146">
        <v>15.7</v>
      </c>
      <c r="Q83" s="294"/>
    </row>
    <row r="84" spans="1:17" ht="73.5" customHeight="1">
      <c r="A84" s="138">
        <v>75</v>
      </c>
      <c r="B84" s="182" t="s">
        <v>134</v>
      </c>
      <c r="C84" s="139" t="s">
        <v>289</v>
      </c>
      <c r="D84" s="145" t="s">
        <v>165</v>
      </c>
      <c r="E84" s="139" t="s">
        <v>8</v>
      </c>
      <c r="F84" s="143">
        <v>353</v>
      </c>
      <c r="G84" s="141">
        <v>84.5</v>
      </c>
      <c r="H84" s="227">
        <v>0.55</v>
      </c>
      <c r="I84" s="227">
        <v>0.3512</v>
      </c>
      <c r="J84" s="142">
        <v>8262919</v>
      </c>
      <c r="K84" s="142">
        <v>2884651</v>
      </c>
      <c r="L84" s="142"/>
      <c r="M84" s="142">
        <v>30437</v>
      </c>
      <c r="N84" s="38">
        <f t="shared" si="2"/>
        <v>5347831</v>
      </c>
      <c r="O84" s="236" t="s">
        <v>341</v>
      </c>
      <c r="P84" s="146">
        <v>15</v>
      </c>
      <c r="Q84" s="294" t="s">
        <v>418</v>
      </c>
    </row>
    <row r="85" spans="1:17" ht="87" customHeight="1">
      <c r="A85" s="138">
        <v>76</v>
      </c>
      <c r="B85" s="167" t="s">
        <v>192</v>
      </c>
      <c r="C85" s="31" t="s">
        <v>9</v>
      </c>
      <c r="D85" s="145" t="s">
        <v>310</v>
      </c>
      <c r="E85" s="31" t="s">
        <v>8</v>
      </c>
      <c r="F85" s="31">
        <v>1113</v>
      </c>
      <c r="G85" s="144">
        <v>83.5</v>
      </c>
      <c r="H85" s="226">
        <v>0.6</v>
      </c>
      <c r="I85" s="237">
        <v>0.5002</v>
      </c>
      <c r="J85" s="38">
        <v>150224</v>
      </c>
      <c r="K85" s="38">
        <v>24265</v>
      </c>
      <c r="L85" s="38"/>
      <c r="M85" s="38">
        <v>50823</v>
      </c>
      <c r="N85" s="38">
        <f t="shared" si="2"/>
        <v>75136</v>
      </c>
      <c r="O85" s="145" t="s">
        <v>175</v>
      </c>
      <c r="P85" s="102">
        <f>258994180/4.8</f>
        <v>53957120.833333336</v>
      </c>
      <c r="Q85" s="294"/>
    </row>
    <row r="86" spans="1:17" ht="87" customHeight="1">
      <c r="A86" s="138">
        <v>77</v>
      </c>
      <c r="B86" s="167" t="s">
        <v>234</v>
      </c>
      <c r="C86" s="139" t="s">
        <v>289</v>
      </c>
      <c r="D86" s="145" t="s">
        <v>165</v>
      </c>
      <c r="E86" s="31" t="s">
        <v>12</v>
      </c>
      <c r="F86" s="143" t="s">
        <v>81</v>
      </c>
      <c r="G86" s="144">
        <v>83.5</v>
      </c>
      <c r="H86" s="226">
        <v>0</v>
      </c>
      <c r="I86" s="227">
        <v>0</v>
      </c>
      <c r="J86" s="38">
        <v>307506</v>
      </c>
      <c r="K86" s="38">
        <v>0</v>
      </c>
      <c r="L86" s="38"/>
      <c r="M86" s="38">
        <v>0</v>
      </c>
      <c r="N86" s="38">
        <f t="shared" si="2"/>
        <v>307506</v>
      </c>
      <c r="O86" s="145" t="s">
        <v>235</v>
      </c>
      <c r="P86" s="102">
        <f>9611/4.8</f>
        <v>2002.2916666666667</v>
      </c>
      <c r="Q86" s="284"/>
    </row>
    <row r="87" spans="1:17" ht="75" customHeight="1">
      <c r="A87" s="138">
        <v>78</v>
      </c>
      <c r="B87" s="167" t="s">
        <v>145</v>
      </c>
      <c r="C87" s="139" t="s">
        <v>289</v>
      </c>
      <c r="D87" s="145" t="s">
        <v>167</v>
      </c>
      <c r="E87" s="31" t="s">
        <v>8</v>
      </c>
      <c r="F87" s="143">
        <v>343</v>
      </c>
      <c r="G87" s="144">
        <v>83.5</v>
      </c>
      <c r="H87" s="226">
        <v>0.82</v>
      </c>
      <c r="I87" s="224">
        <v>0.82</v>
      </c>
      <c r="J87" s="38">
        <v>1184661</v>
      </c>
      <c r="K87" s="38">
        <v>87553</v>
      </c>
      <c r="L87" s="38"/>
      <c r="M87" s="38">
        <v>0</v>
      </c>
      <c r="N87" s="38">
        <f t="shared" si="2"/>
        <v>1097108</v>
      </c>
      <c r="O87" s="145" t="s">
        <v>193</v>
      </c>
      <c r="P87" s="102" t="s">
        <v>176</v>
      </c>
      <c r="Q87" s="288" t="s">
        <v>358</v>
      </c>
    </row>
    <row r="88" spans="1:17" ht="87" customHeight="1">
      <c r="A88" s="138">
        <v>79</v>
      </c>
      <c r="B88" s="167" t="s">
        <v>153</v>
      </c>
      <c r="C88" s="139" t="s">
        <v>289</v>
      </c>
      <c r="D88" s="145" t="s">
        <v>165</v>
      </c>
      <c r="E88" s="31" t="s">
        <v>8</v>
      </c>
      <c r="F88" s="143">
        <v>1086</v>
      </c>
      <c r="G88" s="141">
        <v>83</v>
      </c>
      <c r="H88" s="238">
        <v>0.7994</v>
      </c>
      <c r="I88" s="227">
        <v>0.6919</v>
      </c>
      <c r="J88" s="38">
        <v>1137629</v>
      </c>
      <c r="K88" s="38">
        <v>768585</v>
      </c>
      <c r="L88" s="38"/>
      <c r="M88" s="38">
        <v>45249</v>
      </c>
      <c r="N88" s="38">
        <f t="shared" si="2"/>
        <v>323795</v>
      </c>
      <c r="O88" s="145" t="s">
        <v>255</v>
      </c>
      <c r="P88" s="147">
        <v>539237000</v>
      </c>
      <c r="Q88" s="284" t="s">
        <v>391</v>
      </c>
    </row>
    <row r="89" spans="1:17" ht="87" customHeight="1">
      <c r="A89" s="138">
        <v>80</v>
      </c>
      <c r="B89" s="167" t="s">
        <v>231</v>
      </c>
      <c r="C89" s="139" t="s">
        <v>289</v>
      </c>
      <c r="D89" s="145" t="s">
        <v>165</v>
      </c>
      <c r="E89" s="31" t="s">
        <v>12</v>
      </c>
      <c r="F89" s="143" t="s">
        <v>81</v>
      </c>
      <c r="G89" s="144">
        <v>83</v>
      </c>
      <c r="H89" s="226">
        <v>0</v>
      </c>
      <c r="I89" s="227">
        <v>0</v>
      </c>
      <c r="J89" s="38">
        <v>145202</v>
      </c>
      <c r="K89" s="38">
        <v>0</v>
      </c>
      <c r="L89" s="38"/>
      <c r="M89" s="38">
        <v>0</v>
      </c>
      <c r="N89" s="38">
        <f t="shared" si="2"/>
        <v>145202</v>
      </c>
      <c r="O89" s="145" t="s">
        <v>170</v>
      </c>
      <c r="P89" s="102">
        <f>31900720/4.8</f>
        <v>6645983.333333334</v>
      </c>
      <c r="Q89" s="294"/>
    </row>
    <row r="90" spans="1:17" ht="87" customHeight="1">
      <c r="A90" s="138">
        <v>81</v>
      </c>
      <c r="B90" s="167" t="s">
        <v>17</v>
      </c>
      <c r="C90" s="139" t="s">
        <v>289</v>
      </c>
      <c r="D90" s="145" t="s">
        <v>165</v>
      </c>
      <c r="E90" s="31" t="s">
        <v>8</v>
      </c>
      <c r="F90" s="143">
        <v>985</v>
      </c>
      <c r="G90" s="144">
        <v>82.5</v>
      </c>
      <c r="H90" s="238">
        <v>0.97</v>
      </c>
      <c r="I90" s="227">
        <v>0.5957</v>
      </c>
      <c r="J90" s="38">
        <v>211002</v>
      </c>
      <c r="K90" s="38">
        <v>125656</v>
      </c>
      <c r="L90" s="38"/>
      <c r="M90" s="38">
        <v>5354</v>
      </c>
      <c r="N90" s="38">
        <f t="shared" si="2"/>
        <v>79992</v>
      </c>
      <c r="O90" s="145" t="s">
        <v>331</v>
      </c>
      <c r="P90" s="147">
        <v>101307000</v>
      </c>
      <c r="Q90" s="294"/>
    </row>
    <row r="91" spans="1:17" ht="87" customHeight="1">
      <c r="A91" s="138">
        <v>82</v>
      </c>
      <c r="B91" s="167" t="s">
        <v>24</v>
      </c>
      <c r="C91" s="139" t="s">
        <v>289</v>
      </c>
      <c r="D91" s="145" t="s">
        <v>165</v>
      </c>
      <c r="E91" s="31" t="s">
        <v>8</v>
      </c>
      <c r="F91" s="143">
        <v>372</v>
      </c>
      <c r="G91" s="141">
        <v>82.5</v>
      </c>
      <c r="H91" s="227">
        <v>0.03</v>
      </c>
      <c r="I91" s="227">
        <v>0.1217</v>
      </c>
      <c r="J91" s="38">
        <v>3955030</v>
      </c>
      <c r="K91" s="38">
        <v>307127</v>
      </c>
      <c r="L91" s="38"/>
      <c r="M91" s="38">
        <v>515530</v>
      </c>
      <c r="N91" s="38">
        <f t="shared" si="2"/>
        <v>3132373</v>
      </c>
      <c r="O91" s="143" t="s">
        <v>332</v>
      </c>
      <c r="P91" s="147">
        <f>101080*1000</f>
        <v>101080000</v>
      </c>
      <c r="Q91" s="294"/>
    </row>
    <row r="92" spans="1:17" ht="75" customHeight="1">
      <c r="A92" s="138">
        <v>83</v>
      </c>
      <c r="B92" s="167" t="s">
        <v>40</v>
      </c>
      <c r="C92" s="139" t="s">
        <v>289</v>
      </c>
      <c r="D92" s="145" t="s">
        <v>165</v>
      </c>
      <c r="E92" s="31" t="s">
        <v>8</v>
      </c>
      <c r="F92" s="143">
        <v>820</v>
      </c>
      <c r="G92" s="144">
        <v>82.5</v>
      </c>
      <c r="H92" s="226">
        <v>0</v>
      </c>
      <c r="I92" s="227">
        <v>0.007</v>
      </c>
      <c r="J92" s="38">
        <v>305908</v>
      </c>
      <c r="K92" s="38">
        <v>2121</v>
      </c>
      <c r="L92" s="38"/>
      <c r="M92" s="38">
        <v>2074</v>
      </c>
      <c r="N92" s="38">
        <f t="shared" si="2"/>
        <v>301713</v>
      </c>
      <c r="O92" s="145" t="s">
        <v>342</v>
      </c>
      <c r="P92" s="147">
        <v>32810486</v>
      </c>
      <c r="Q92" s="284" t="s">
        <v>392</v>
      </c>
    </row>
    <row r="93" spans="1:17" ht="123" customHeight="1">
      <c r="A93" s="138">
        <v>84</v>
      </c>
      <c r="B93" s="183" t="s">
        <v>188</v>
      </c>
      <c r="C93" s="104" t="s">
        <v>239</v>
      </c>
      <c r="D93" s="145" t="s">
        <v>190</v>
      </c>
      <c r="E93" s="31" t="s">
        <v>8</v>
      </c>
      <c r="F93" s="31">
        <v>286</v>
      </c>
      <c r="G93" s="144">
        <v>82</v>
      </c>
      <c r="H93" s="227">
        <v>0.7</v>
      </c>
      <c r="I93" s="227">
        <v>0.23</v>
      </c>
      <c r="J93" s="38">
        <v>204991</v>
      </c>
      <c r="K93" s="38">
        <v>46078</v>
      </c>
      <c r="L93" s="38"/>
      <c r="M93" s="38">
        <v>0</v>
      </c>
      <c r="N93" s="38">
        <f t="shared" si="2"/>
        <v>158913</v>
      </c>
      <c r="O93" s="143">
        <v>2025</v>
      </c>
      <c r="P93" s="147">
        <v>14072</v>
      </c>
      <c r="Q93" s="283" t="s">
        <v>351</v>
      </c>
    </row>
    <row r="94" spans="1:17" ht="87" customHeight="1">
      <c r="A94" s="138">
        <v>85</v>
      </c>
      <c r="B94" s="167" t="s">
        <v>7</v>
      </c>
      <c r="C94" s="139" t="s">
        <v>289</v>
      </c>
      <c r="D94" s="145" t="s">
        <v>165</v>
      </c>
      <c r="E94" s="31" t="s">
        <v>8</v>
      </c>
      <c r="F94" s="143">
        <v>989</v>
      </c>
      <c r="G94" s="141">
        <v>81.5</v>
      </c>
      <c r="H94" s="227">
        <v>0.9892</v>
      </c>
      <c r="I94" s="227">
        <v>0.7953</v>
      </c>
      <c r="J94" s="38">
        <v>3489319</v>
      </c>
      <c r="K94" s="38">
        <v>2775185</v>
      </c>
      <c r="L94" s="38"/>
      <c r="M94" s="38">
        <v>10000</v>
      </c>
      <c r="N94" s="38">
        <f t="shared" si="2"/>
        <v>704134</v>
      </c>
      <c r="O94" s="239" t="s">
        <v>372</v>
      </c>
      <c r="P94" s="147">
        <v>2091930000</v>
      </c>
      <c r="Q94" s="296" t="s">
        <v>212</v>
      </c>
    </row>
    <row r="95" spans="1:17" ht="132.75" customHeight="1">
      <c r="A95" s="138">
        <v>86</v>
      </c>
      <c r="B95" s="182" t="s">
        <v>15</v>
      </c>
      <c r="C95" s="139" t="s">
        <v>289</v>
      </c>
      <c r="D95" s="145" t="s">
        <v>165</v>
      </c>
      <c r="E95" s="31" t="s">
        <v>8</v>
      </c>
      <c r="F95" s="154">
        <v>1081</v>
      </c>
      <c r="G95" s="144">
        <v>81.5</v>
      </c>
      <c r="H95" s="224">
        <v>0.92</v>
      </c>
      <c r="I95" s="224">
        <v>0.5327</v>
      </c>
      <c r="J95" s="142">
        <v>3914761</v>
      </c>
      <c r="K95" s="142">
        <v>2060886</v>
      </c>
      <c r="L95" s="142"/>
      <c r="M95" s="142">
        <v>209622</v>
      </c>
      <c r="N95" s="38">
        <f t="shared" si="2"/>
        <v>1644253</v>
      </c>
      <c r="O95" s="309" t="s">
        <v>328</v>
      </c>
      <c r="P95" s="147">
        <v>1547642182</v>
      </c>
      <c r="Q95" s="294"/>
    </row>
    <row r="96" spans="1:17" ht="281.25" customHeight="1">
      <c r="A96" s="138">
        <v>87</v>
      </c>
      <c r="B96" s="182" t="s">
        <v>13</v>
      </c>
      <c r="C96" s="139" t="s">
        <v>289</v>
      </c>
      <c r="D96" s="145" t="s">
        <v>165</v>
      </c>
      <c r="E96" s="31" t="s">
        <v>8</v>
      </c>
      <c r="F96" s="154">
        <v>988</v>
      </c>
      <c r="G96" s="141">
        <v>81.5</v>
      </c>
      <c r="H96" s="227">
        <v>0.865</v>
      </c>
      <c r="I96" s="227">
        <v>0.4773</v>
      </c>
      <c r="J96" s="142">
        <v>5556723</v>
      </c>
      <c r="K96" s="142">
        <v>2642774</v>
      </c>
      <c r="L96" s="142"/>
      <c r="M96" s="142">
        <v>145735</v>
      </c>
      <c r="N96" s="38">
        <f t="shared" si="2"/>
        <v>2768214</v>
      </c>
      <c r="O96" s="239" t="s">
        <v>254</v>
      </c>
      <c r="P96" s="147">
        <v>627340000</v>
      </c>
      <c r="Q96" s="294"/>
    </row>
    <row r="97" spans="1:17" ht="87" customHeight="1">
      <c r="A97" s="138">
        <v>88</v>
      </c>
      <c r="B97" s="169" t="s">
        <v>185</v>
      </c>
      <c r="C97" s="104" t="s">
        <v>239</v>
      </c>
      <c r="D97" s="145" t="s">
        <v>190</v>
      </c>
      <c r="E97" s="31" t="s">
        <v>8</v>
      </c>
      <c r="F97" s="31">
        <v>278</v>
      </c>
      <c r="G97" s="144">
        <v>81.5</v>
      </c>
      <c r="H97" s="226">
        <v>0.69</v>
      </c>
      <c r="I97" s="227">
        <v>0.691</v>
      </c>
      <c r="J97" s="38">
        <v>167881</v>
      </c>
      <c r="K97" s="38">
        <v>116085</v>
      </c>
      <c r="L97" s="38"/>
      <c r="M97" s="38">
        <v>10000</v>
      </c>
      <c r="N97" s="38">
        <f t="shared" si="2"/>
        <v>41796</v>
      </c>
      <c r="O97" s="145" t="s">
        <v>235</v>
      </c>
      <c r="P97" s="102" t="s">
        <v>176</v>
      </c>
      <c r="Q97" s="294"/>
    </row>
    <row r="98" spans="1:17" ht="87" customHeight="1">
      <c r="A98" s="138">
        <v>89</v>
      </c>
      <c r="B98" s="167" t="s">
        <v>151</v>
      </c>
      <c r="C98" s="139" t="s">
        <v>289</v>
      </c>
      <c r="D98" s="145" t="s">
        <v>167</v>
      </c>
      <c r="E98" s="31" t="s">
        <v>8</v>
      </c>
      <c r="F98" s="143">
        <v>344</v>
      </c>
      <c r="G98" s="141">
        <v>81.5</v>
      </c>
      <c r="H98" s="227">
        <v>0.6</v>
      </c>
      <c r="I98" s="227">
        <v>0.6</v>
      </c>
      <c r="J98" s="38">
        <v>1083338</v>
      </c>
      <c r="K98" s="38">
        <v>10572</v>
      </c>
      <c r="L98" s="38"/>
      <c r="M98" s="38">
        <v>0</v>
      </c>
      <c r="N98" s="38">
        <f t="shared" si="2"/>
        <v>1072766</v>
      </c>
      <c r="O98" s="145" t="s">
        <v>193</v>
      </c>
      <c r="P98" s="102" t="s">
        <v>176</v>
      </c>
      <c r="Q98" s="288" t="s">
        <v>358</v>
      </c>
    </row>
    <row r="99" spans="1:17" ht="87" customHeight="1">
      <c r="A99" s="138">
        <v>90</v>
      </c>
      <c r="B99" s="169" t="s">
        <v>186</v>
      </c>
      <c r="C99" s="104" t="s">
        <v>239</v>
      </c>
      <c r="D99" s="145" t="s">
        <v>190</v>
      </c>
      <c r="E99" s="31" t="s">
        <v>8</v>
      </c>
      <c r="F99" s="143">
        <v>287</v>
      </c>
      <c r="G99" s="141">
        <v>81.5</v>
      </c>
      <c r="H99" s="227">
        <v>0.81</v>
      </c>
      <c r="I99" s="227">
        <v>0.79</v>
      </c>
      <c r="J99" s="38">
        <v>168734</v>
      </c>
      <c r="K99" s="38">
        <v>133647</v>
      </c>
      <c r="L99" s="38"/>
      <c r="M99" s="38">
        <v>100</v>
      </c>
      <c r="N99" s="38">
        <f t="shared" si="2"/>
        <v>34987</v>
      </c>
      <c r="O99" s="145" t="s">
        <v>249</v>
      </c>
      <c r="P99" s="102" t="s">
        <v>176</v>
      </c>
      <c r="Q99" s="294"/>
    </row>
    <row r="100" spans="1:17" ht="95.25" customHeight="1">
      <c r="A100" s="138">
        <v>91</v>
      </c>
      <c r="B100" s="167" t="s">
        <v>31</v>
      </c>
      <c r="C100" s="139" t="s">
        <v>289</v>
      </c>
      <c r="D100" s="145" t="s">
        <v>165</v>
      </c>
      <c r="E100" s="31" t="s">
        <v>8</v>
      </c>
      <c r="F100" s="143">
        <v>816</v>
      </c>
      <c r="G100" s="141">
        <v>81</v>
      </c>
      <c r="H100" s="227">
        <v>0.4982</v>
      </c>
      <c r="I100" s="227">
        <v>0.3251</v>
      </c>
      <c r="J100" s="38">
        <v>540988</v>
      </c>
      <c r="K100" s="38">
        <v>175878</v>
      </c>
      <c r="L100" s="38"/>
      <c r="M100" s="38">
        <v>20080</v>
      </c>
      <c r="N100" s="38">
        <f t="shared" si="2"/>
        <v>345030</v>
      </c>
      <c r="O100" s="143" t="s">
        <v>258</v>
      </c>
      <c r="P100" s="147">
        <v>113984129</v>
      </c>
      <c r="Q100" s="484" t="s">
        <v>393</v>
      </c>
    </row>
    <row r="101" spans="1:17" ht="90" customHeight="1">
      <c r="A101" s="138">
        <v>92</v>
      </c>
      <c r="B101" s="167" t="s">
        <v>156</v>
      </c>
      <c r="C101" s="139" t="s">
        <v>289</v>
      </c>
      <c r="D101" s="145" t="s">
        <v>165</v>
      </c>
      <c r="E101" s="31" t="s">
        <v>8</v>
      </c>
      <c r="F101" s="143">
        <v>1121</v>
      </c>
      <c r="G101" s="144">
        <v>80.5</v>
      </c>
      <c r="H101" s="223">
        <v>0</v>
      </c>
      <c r="I101" s="227">
        <v>0.0123</v>
      </c>
      <c r="J101" s="38">
        <v>237442</v>
      </c>
      <c r="K101" s="38">
        <v>2729</v>
      </c>
      <c r="L101" s="38"/>
      <c r="M101" s="38">
        <v>5000</v>
      </c>
      <c r="N101" s="38">
        <f t="shared" si="2"/>
        <v>229713</v>
      </c>
      <c r="O101" s="145" t="s">
        <v>169</v>
      </c>
      <c r="P101" s="102" t="s">
        <v>177</v>
      </c>
      <c r="Q101" s="294"/>
    </row>
    <row r="102" spans="1:17" ht="105.75" customHeight="1">
      <c r="A102" s="138">
        <v>93</v>
      </c>
      <c r="B102" s="39" t="s">
        <v>187</v>
      </c>
      <c r="C102" s="104" t="s">
        <v>239</v>
      </c>
      <c r="D102" s="145" t="s">
        <v>190</v>
      </c>
      <c r="E102" s="31" t="s">
        <v>8</v>
      </c>
      <c r="F102" s="31">
        <v>282</v>
      </c>
      <c r="G102" s="144">
        <v>80</v>
      </c>
      <c r="H102" s="227">
        <v>0.342</v>
      </c>
      <c r="I102" s="227">
        <v>0.09</v>
      </c>
      <c r="J102" s="38">
        <v>634468</v>
      </c>
      <c r="K102" s="38">
        <v>57560</v>
      </c>
      <c r="L102" s="38"/>
      <c r="M102" s="38">
        <v>350</v>
      </c>
      <c r="N102" s="38">
        <f t="shared" si="2"/>
        <v>576558</v>
      </c>
      <c r="O102" s="143">
        <v>2025</v>
      </c>
      <c r="P102" s="38">
        <f>19697490</f>
        <v>19697490</v>
      </c>
      <c r="Q102" s="282" t="s">
        <v>350</v>
      </c>
    </row>
    <row r="103" spans="1:17" ht="87" customHeight="1">
      <c r="A103" s="138">
        <v>94</v>
      </c>
      <c r="B103" s="167" t="s">
        <v>191</v>
      </c>
      <c r="C103" s="31" t="s">
        <v>9</v>
      </c>
      <c r="D103" s="145" t="s">
        <v>311</v>
      </c>
      <c r="E103" s="31" t="s">
        <v>8</v>
      </c>
      <c r="F103" s="31">
        <v>1139</v>
      </c>
      <c r="G103" s="144">
        <v>79.5</v>
      </c>
      <c r="H103" s="224">
        <v>0</v>
      </c>
      <c r="I103" s="227">
        <v>0.00026</v>
      </c>
      <c r="J103" s="38">
        <v>511628</v>
      </c>
      <c r="K103" s="38">
        <v>133</v>
      </c>
      <c r="L103" s="38"/>
      <c r="M103" s="38">
        <v>1524</v>
      </c>
      <c r="N103" s="38">
        <f t="shared" si="2"/>
        <v>509971</v>
      </c>
      <c r="O103" s="145" t="s">
        <v>249</v>
      </c>
      <c r="P103" s="102">
        <f>3081486730/4.8</f>
        <v>641976402.0833334</v>
      </c>
      <c r="Q103" s="294"/>
    </row>
    <row r="104" spans="1:17" ht="87" customHeight="1">
      <c r="A104" s="138">
        <v>95</v>
      </c>
      <c r="B104" s="39" t="s">
        <v>199</v>
      </c>
      <c r="C104" s="139" t="s">
        <v>289</v>
      </c>
      <c r="D104" s="145" t="s">
        <v>165</v>
      </c>
      <c r="E104" s="145" t="s">
        <v>8</v>
      </c>
      <c r="F104" s="139">
        <v>1226</v>
      </c>
      <c r="G104" s="144">
        <v>79</v>
      </c>
      <c r="H104" s="224">
        <v>0</v>
      </c>
      <c r="I104" s="224">
        <v>0</v>
      </c>
      <c r="J104" s="38">
        <v>160646</v>
      </c>
      <c r="K104" s="38">
        <v>0</v>
      </c>
      <c r="L104" s="38"/>
      <c r="M104" s="38">
        <v>0</v>
      </c>
      <c r="N104" s="38">
        <f t="shared" si="2"/>
        <v>160646</v>
      </c>
      <c r="O104" s="145" t="s">
        <v>170</v>
      </c>
      <c r="P104" s="102">
        <v>31728388</v>
      </c>
      <c r="Q104" s="294"/>
    </row>
    <row r="105" spans="1:17" ht="220.5" customHeight="1">
      <c r="A105" s="138">
        <v>96</v>
      </c>
      <c r="B105" s="167" t="s">
        <v>18</v>
      </c>
      <c r="C105" s="139" t="s">
        <v>289</v>
      </c>
      <c r="D105" s="145" t="s">
        <v>165</v>
      </c>
      <c r="E105" s="31" t="s">
        <v>8</v>
      </c>
      <c r="F105" s="143">
        <v>383</v>
      </c>
      <c r="G105" s="144">
        <v>79</v>
      </c>
      <c r="H105" s="226">
        <v>0</v>
      </c>
      <c r="I105" s="227">
        <v>0.0809</v>
      </c>
      <c r="J105" s="38">
        <v>1962299</v>
      </c>
      <c r="K105" s="38">
        <v>145782</v>
      </c>
      <c r="L105" s="38"/>
      <c r="M105" s="38">
        <v>91078</v>
      </c>
      <c r="N105" s="38">
        <f aca="true" t="shared" si="3" ref="N105:N120">J105-K105-M105</f>
        <v>1725439</v>
      </c>
      <c r="O105" s="145" t="s">
        <v>169</v>
      </c>
      <c r="P105" s="240">
        <v>29.23</v>
      </c>
      <c r="Q105" s="484" t="s">
        <v>419</v>
      </c>
    </row>
    <row r="106" spans="1:17" ht="87" customHeight="1">
      <c r="A106" s="138">
        <v>97</v>
      </c>
      <c r="B106" s="167" t="s">
        <v>20</v>
      </c>
      <c r="C106" s="139" t="s">
        <v>289</v>
      </c>
      <c r="D106" s="145" t="s">
        <v>165</v>
      </c>
      <c r="E106" s="31" t="s">
        <v>8</v>
      </c>
      <c r="F106" s="143">
        <v>1080</v>
      </c>
      <c r="G106" s="144">
        <v>78.5</v>
      </c>
      <c r="H106" s="227">
        <v>0</v>
      </c>
      <c r="I106" s="224">
        <v>0.0055</v>
      </c>
      <c r="J106" s="38">
        <v>597014</v>
      </c>
      <c r="K106" s="38">
        <v>3298</v>
      </c>
      <c r="L106" s="38"/>
      <c r="M106" s="38">
        <v>5199</v>
      </c>
      <c r="N106" s="38">
        <f t="shared" si="3"/>
        <v>588517</v>
      </c>
      <c r="O106" s="145" t="s">
        <v>249</v>
      </c>
      <c r="P106" s="147">
        <v>178620000</v>
      </c>
      <c r="Q106" s="294"/>
    </row>
    <row r="107" spans="1:17" ht="87" customHeight="1">
      <c r="A107" s="138">
        <v>98</v>
      </c>
      <c r="B107" s="167" t="s">
        <v>29</v>
      </c>
      <c r="C107" s="139" t="s">
        <v>289</v>
      </c>
      <c r="D107" s="145" t="s">
        <v>165</v>
      </c>
      <c r="E107" s="31" t="s">
        <v>8</v>
      </c>
      <c r="F107" s="143">
        <v>1079</v>
      </c>
      <c r="G107" s="144">
        <v>78.5</v>
      </c>
      <c r="H107" s="224">
        <v>0</v>
      </c>
      <c r="I107" s="224">
        <v>0.0009</v>
      </c>
      <c r="J107" s="102">
        <v>404939</v>
      </c>
      <c r="K107" s="102">
        <v>358</v>
      </c>
      <c r="L107" s="102"/>
      <c r="M107" s="102">
        <v>5199</v>
      </c>
      <c r="N107" s="38">
        <f t="shared" si="3"/>
        <v>399382</v>
      </c>
      <c r="O107" s="31">
        <v>2024</v>
      </c>
      <c r="P107" s="147">
        <v>113070000</v>
      </c>
      <c r="Q107" s="294"/>
    </row>
    <row r="108" spans="1:17" ht="87" customHeight="1">
      <c r="A108" s="138">
        <v>99</v>
      </c>
      <c r="B108" s="167" t="s">
        <v>154</v>
      </c>
      <c r="C108" s="139" t="s">
        <v>289</v>
      </c>
      <c r="D108" s="145" t="s">
        <v>165</v>
      </c>
      <c r="E108" s="31" t="s">
        <v>8</v>
      </c>
      <c r="F108" s="143">
        <v>1122</v>
      </c>
      <c r="G108" s="144">
        <v>78.5</v>
      </c>
      <c r="H108" s="227">
        <v>0.2134</v>
      </c>
      <c r="I108" s="227">
        <v>0.2792</v>
      </c>
      <c r="J108" s="38">
        <v>248894</v>
      </c>
      <c r="K108" s="38">
        <v>49299</v>
      </c>
      <c r="L108" s="38"/>
      <c r="M108" s="38">
        <v>68590</v>
      </c>
      <c r="N108" s="38">
        <f t="shared" si="3"/>
        <v>131005</v>
      </c>
      <c r="O108" s="145" t="s">
        <v>169</v>
      </c>
      <c r="P108" s="102">
        <f>32315000/4.8</f>
        <v>6732291.666666667</v>
      </c>
      <c r="Q108" s="294"/>
    </row>
    <row r="109" spans="1:17" ht="319.5" customHeight="1">
      <c r="A109" s="138">
        <v>100</v>
      </c>
      <c r="B109" s="167" t="s">
        <v>27</v>
      </c>
      <c r="C109" s="139" t="s">
        <v>289</v>
      </c>
      <c r="D109" s="145" t="s">
        <v>165</v>
      </c>
      <c r="E109" s="31" t="s">
        <v>8</v>
      </c>
      <c r="F109" s="143">
        <v>413</v>
      </c>
      <c r="G109" s="144">
        <v>78</v>
      </c>
      <c r="H109" s="241">
        <v>0.995</v>
      </c>
      <c r="I109" s="227">
        <v>0.953</v>
      </c>
      <c r="J109" s="38">
        <v>1132285</v>
      </c>
      <c r="K109" s="242">
        <v>1078977</v>
      </c>
      <c r="L109" s="242"/>
      <c r="M109" s="38">
        <v>4126</v>
      </c>
      <c r="N109" s="38">
        <f t="shared" si="3"/>
        <v>49182</v>
      </c>
      <c r="O109" s="243" t="s">
        <v>333</v>
      </c>
      <c r="P109" s="147">
        <v>145600000</v>
      </c>
      <c r="Q109" s="294" t="s">
        <v>394</v>
      </c>
    </row>
    <row r="110" spans="1:17" ht="87" customHeight="1">
      <c r="A110" s="138">
        <v>101</v>
      </c>
      <c r="B110" s="167" t="s">
        <v>146</v>
      </c>
      <c r="C110" s="139" t="s">
        <v>289</v>
      </c>
      <c r="D110" s="145" t="s">
        <v>166</v>
      </c>
      <c r="E110" s="31" t="s">
        <v>8</v>
      </c>
      <c r="F110" s="143">
        <v>376</v>
      </c>
      <c r="G110" s="141">
        <v>78</v>
      </c>
      <c r="H110" s="224">
        <v>0.995</v>
      </c>
      <c r="I110" s="227">
        <v>0.9994</v>
      </c>
      <c r="J110" s="142">
        <v>1828350</v>
      </c>
      <c r="K110" s="142">
        <v>1827016</v>
      </c>
      <c r="L110" s="142"/>
      <c r="M110" s="142">
        <v>1334</v>
      </c>
      <c r="N110" s="38">
        <f t="shared" si="3"/>
        <v>0</v>
      </c>
      <c r="O110" s="143">
        <v>2021</v>
      </c>
      <c r="P110" s="146">
        <v>3.62</v>
      </c>
      <c r="Q110" s="297" t="s">
        <v>361</v>
      </c>
    </row>
    <row r="111" spans="1:17" ht="87" customHeight="1">
      <c r="A111" s="138">
        <v>102</v>
      </c>
      <c r="B111" s="167" t="s">
        <v>53</v>
      </c>
      <c r="C111" s="139" t="s">
        <v>289</v>
      </c>
      <c r="D111" s="145" t="s">
        <v>165</v>
      </c>
      <c r="E111" s="31" t="s">
        <v>8</v>
      </c>
      <c r="F111" s="143">
        <v>872</v>
      </c>
      <c r="G111" s="144">
        <v>77.5</v>
      </c>
      <c r="H111" s="226">
        <v>0</v>
      </c>
      <c r="I111" s="227">
        <v>0.0092</v>
      </c>
      <c r="J111" s="38">
        <v>199675</v>
      </c>
      <c r="K111" s="38">
        <v>1832</v>
      </c>
      <c r="L111" s="38"/>
      <c r="M111" s="38">
        <v>2000</v>
      </c>
      <c r="N111" s="38">
        <f t="shared" si="3"/>
        <v>195843</v>
      </c>
      <c r="O111" s="145" t="s">
        <v>235</v>
      </c>
      <c r="P111" s="147">
        <v>62681.04</v>
      </c>
      <c r="Q111" s="284"/>
    </row>
    <row r="112" spans="1:17" ht="87" customHeight="1">
      <c r="A112" s="138">
        <v>103</v>
      </c>
      <c r="B112" s="169" t="s">
        <v>189</v>
      </c>
      <c r="C112" s="104" t="s">
        <v>239</v>
      </c>
      <c r="D112" s="145" t="s">
        <v>190</v>
      </c>
      <c r="E112" s="31" t="s">
        <v>8</v>
      </c>
      <c r="F112" s="143">
        <v>272</v>
      </c>
      <c r="G112" s="144">
        <v>77.5</v>
      </c>
      <c r="H112" s="227">
        <v>0.31</v>
      </c>
      <c r="I112" s="227">
        <v>0.24</v>
      </c>
      <c r="J112" s="38">
        <v>132482</v>
      </c>
      <c r="K112" s="38">
        <v>31484</v>
      </c>
      <c r="L112" s="38"/>
      <c r="M112" s="38">
        <v>700</v>
      </c>
      <c r="N112" s="38">
        <f t="shared" si="3"/>
        <v>100298</v>
      </c>
      <c r="O112" s="139">
        <v>2025</v>
      </c>
      <c r="P112" s="38" t="s">
        <v>176</v>
      </c>
      <c r="Q112" s="284"/>
    </row>
    <row r="113" spans="1:17" ht="219" customHeight="1">
      <c r="A113" s="138">
        <v>104</v>
      </c>
      <c r="B113" s="167" t="s">
        <v>321</v>
      </c>
      <c r="C113" s="139" t="s">
        <v>289</v>
      </c>
      <c r="D113" s="145" t="s">
        <v>168</v>
      </c>
      <c r="E113" s="31" t="s">
        <v>8</v>
      </c>
      <c r="F113" s="143">
        <v>1292</v>
      </c>
      <c r="G113" s="141">
        <v>77</v>
      </c>
      <c r="H113" s="224">
        <v>0.45</v>
      </c>
      <c r="I113" s="224">
        <v>0.324</v>
      </c>
      <c r="J113" s="38">
        <v>9161319</v>
      </c>
      <c r="K113" s="38">
        <v>2970041</v>
      </c>
      <c r="L113" s="38"/>
      <c r="M113" s="38">
        <v>75475</v>
      </c>
      <c r="N113" s="38">
        <f t="shared" si="3"/>
        <v>6115803</v>
      </c>
      <c r="O113" s="145" t="s">
        <v>193</v>
      </c>
      <c r="P113" s="102">
        <f>1588.32*1000000</f>
        <v>1588320000</v>
      </c>
      <c r="Q113" s="298" t="s">
        <v>441</v>
      </c>
    </row>
    <row r="114" spans="1:17" ht="87" customHeight="1">
      <c r="A114" s="138">
        <v>105</v>
      </c>
      <c r="B114" s="167" t="s">
        <v>57</v>
      </c>
      <c r="C114" s="139" t="s">
        <v>289</v>
      </c>
      <c r="D114" s="145" t="s">
        <v>165</v>
      </c>
      <c r="E114" s="31" t="s">
        <v>8</v>
      </c>
      <c r="F114" s="143">
        <v>1041</v>
      </c>
      <c r="G114" s="144">
        <v>77</v>
      </c>
      <c r="H114" s="224">
        <v>0.6</v>
      </c>
      <c r="I114" s="224">
        <v>0.3813</v>
      </c>
      <c r="J114" s="102">
        <v>730401</v>
      </c>
      <c r="K114" s="102">
        <v>274145</v>
      </c>
      <c r="L114" s="102"/>
      <c r="M114" s="102">
        <v>112536</v>
      </c>
      <c r="N114" s="38">
        <f t="shared" si="3"/>
        <v>343720</v>
      </c>
      <c r="O114" s="31" t="s">
        <v>332</v>
      </c>
      <c r="P114" s="147">
        <v>157424000</v>
      </c>
      <c r="Q114" s="284"/>
    </row>
    <row r="115" spans="1:17" ht="221.25" customHeight="1">
      <c r="A115" s="138">
        <v>106</v>
      </c>
      <c r="B115" s="167" t="s">
        <v>11</v>
      </c>
      <c r="C115" s="139" t="s">
        <v>289</v>
      </c>
      <c r="D115" s="145" t="s">
        <v>165</v>
      </c>
      <c r="E115" s="31" t="s">
        <v>8</v>
      </c>
      <c r="F115" s="143">
        <v>998</v>
      </c>
      <c r="G115" s="141">
        <v>77</v>
      </c>
      <c r="H115" s="223">
        <v>0.3426</v>
      </c>
      <c r="I115" s="227">
        <v>0.215</v>
      </c>
      <c r="J115" s="38">
        <v>393072</v>
      </c>
      <c r="K115" s="38">
        <v>84374</v>
      </c>
      <c r="L115" s="38"/>
      <c r="M115" s="38">
        <v>917</v>
      </c>
      <c r="N115" s="38">
        <f t="shared" si="3"/>
        <v>307781</v>
      </c>
      <c r="O115" s="145" t="s">
        <v>170</v>
      </c>
      <c r="P115" s="147">
        <v>150349000</v>
      </c>
      <c r="Q115" s="484" t="s">
        <v>395</v>
      </c>
    </row>
    <row r="116" spans="1:17" ht="87" customHeight="1">
      <c r="A116" s="138">
        <v>107</v>
      </c>
      <c r="B116" s="183" t="s">
        <v>196</v>
      </c>
      <c r="C116" s="139" t="s">
        <v>289</v>
      </c>
      <c r="D116" s="145" t="s">
        <v>165</v>
      </c>
      <c r="E116" s="145" t="s">
        <v>8</v>
      </c>
      <c r="F116" s="139">
        <v>1258</v>
      </c>
      <c r="G116" s="144">
        <v>77</v>
      </c>
      <c r="H116" s="224">
        <v>0</v>
      </c>
      <c r="I116" s="224">
        <v>0</v>
      </c>
      <c r="J116" s="38">
        <v>146845</v>
      </c>
      <c r="K116" s="38">
        <v>0</v>
      </c>
      <c r="L116" s="38"/>
      <c r="M116" s="38">
        <v>0</v>
      </c>
      <c r="N116" s="38">
        <f t="shared" si="3"/>
        <v>146845</v>
      </c>
      <c r="O116" s="145" t="s">
        <v>170</v>
      </c>
      <c r="P116" s="102">
        <f>113447000/4.8</f>
        <v>23634791.666666668</v>
      </c>
      <c r="Q116" s="284"/>
    </row>
    <row r="117" spans="1:17" ht="87" customHeight="1">
      <c r="A117" s="138">
        <v>108</v>
      </c>
      <c r="B117" s="167" t="s">
        <v>280</v>
      </c>
      <c r="C117" s="139" t="s">
        <v>289</v>
      </c>
      <c r="D117" s="145" t="s">
        <v>165</v>
      </c>
      <c r="E117" s="31" t="s">
        <v>12</v>
      </c>
      <c r="F117" s="163" t="s">
        <v>81</v>
      </c>
      <c r="G117" s="144">
        <v>77</v>
      </c>
      <c r="H117" s="226">
        <v>0</v>
      </c>
      <c r="I117" s="227">
        <v>0</v>
      </c>
      <c r="J117" s="38">
        <v>392160</v>
      </c>
      <c r="K117" s="38">
        <v>0</v>
      </c>
      <c r="L117" s="38"/>
      <c r="M117" s="38">
        <v>0</v>
      </c>
      <c r="N117" s="38">
        <f t="shared" si="3"/>
        <v>392160</v>
      </c>
      <c r="O117" s="145" t="s">
        <v>235</v>
      </c>
      <c r="P117" s="102">
        <v>181207</v>
      </c>
      <c r="Q117" s="294"/>
    </row>
    <row r="118" spans="1:17" ht="87" customHeight="1">
      <c r="A118" s="138">
        <v>109</v>
      </c>
      <c r="B118" s="167" t="s">
        <v>56</v>
      </c>
      <c r="C118" s="139" t="s">
        <v>289</v>
      </c>
      <c r="D118" s="145" t="s">
        <v>165</v>
      </c>
      <c r="E118" s="31" t="s">
        <v>8</v>
      </c>
      <c r="F118" s="143">
        <v>349</v>
      </c>
      <c r="G118" s="141">
        <v>76.5</v>
      </c>
      <c r="H118" s="227">
        <v>0.764</v>
      </c>
      <c r="I118" s="227">
        <v>0.6469</v>
      </c>
      <c r="J118" s="38">
        <v>234745</v>
      </c>
      <c r="K118" s="38">
        <v>151854</v>
      </c>
      <c r="L118" s="38"/>
      <c r="M118" s="38">
        <v>14348</v>
      </c>
      <c r="N118" s="38">
        <f t="shared" si="3"/>
        <v>68543</v>
      </c>
      <c r="O118" s="139">
        <v>2021</v>
      </c>
      <c r="P118" s="102" t="s">
        <v>174</v>
      </c>
      <c r="Q118" s="284" t="s">
        <v>396</v>
      </c>
    </row>
    <row r="119" spans="1:17" ht="87" customHeight="1">
      <c r="A119" s="138">
        <v>110</v>
      </c>
      <c r="B119" s="167" t="s">
        <v>157</v>
      </c>
      <c r="C119" s="139" t="s">
        <v>289</v>
      </c>
      <c r="D119" s="145" t="s">
        <v>165</v>
      </c>
      <c r="E119" s="31" t="s">
        <v>8</v>
      </c>
      <c r="F119" s="143">
        <v>1189</v>
      </c>
      <c r="G119" s="144">
        <v>76</v>
      </c>
      <c r="H119" s="227">
        <v>0</v>
      </c>
      <c r="I119" s="227">
        <v>0.0006</v>
      </c>
      <c r="J119" s="38">
        <v>168141</v>
      </c>
      <c r="K119" s="38">
        <v>102</v>
      </c>
      <c r="L119" s="38"/>
      <c r="M119" s="38">
        <v>0</v>
      </c>
      <c r="N119" s="38">
        <f t="shared" si="3"/>
        <v>168039</v>
      </c>
      <c r="O119" s="31">
        <v>2025</v>
      </c>
      <c r="P119" s="38">
        <v>14220160</v>
      </c>
      <c r="Q119" s="294"/>
    </row>
    <row r="120" spans="1:17" ht="87" customHeight="1">
      <c r="A120" s="138">
        <v>111</v>
      </c>
      <c r="B120" s="167" t="s">
        <v>155</v>
      </c>
      <c r="C120" s="139" t="s">
        <v>289</v>
      </c>
      <c r="D120" s="145" t="s">
        <v>166</v>
      </c>
      <c r="E120" s="31" t="s">
        <v>8</v>
      </c>
      <c r="F120" s="143">
        <v>421</v>
      </c>
      <c r="G120" s="144">
        <v>75</v>
      </c>
      <c r="H120" s="227">
        <v>0.83</v>
      </c>
      <c r="I120" s="227">
        <v>0.7961</v>
      </c>
      <c r="J120" s="142">
        <v>340508</v>
      </c>
      <c r="K120" s="142">
        <v>271068</v>
      </c>
      <c r="L120" s="142"/>
      <c r="M120" s="142">
        <v>8000</v>
      </c>
      <c r="N120" s="38">
        <f t="shared" si="3"/>
        <v>61440</v>
      </c>
      <c r="O120" s="145" t="s">
        <v>323</v>
      </c>
      <c r="P120" s="146">
        <v>21.47</v>
      </c>
      <c r="Q120" s="299" t="s">
        <v>362</v>
      </c>
    </row>
    <row r="121" spans="1:17" ht="87" customHeight="1">
      <c r="A121" s="138">
        <v>112</v>
      </c>
      <c r="B121" s="167" t="s">
        <v>38</v>
      </c>
      <c r="C121" s="139" t="s">
        <v>289</v>
      </c>
      <c r="D121" s="145" t="s">
        <v>165</v>
      </c>
      <c r="E121" s="31" t="s">
        <v>8</v>
      </c>
      <c r="F121" s="143">
        <v>364</v>
      </c>
      <c r="G121" s="144">
        <v>74</v>
      </c>
      <c r="H121" s="227">
        <v>0.8</v>
      </c>
      <c r="I121" s="224">
        <v>0.8509</v>
      </c>
      <c r="J121" s="38">
        <v>399935</v>
      </c>
      <c r="K121" s="38">
        <v>340310</v>
      </c>
      <c r="L121" s="38"/>
      <c r="M121" s="38">
        <v>2000</v>
      </c>
      <c r="N121" s="38">
        <f>J121-K121-M121</f>
        <v>57625</v>
      </c>
      <c r="O121" s="139">
        <v>2022</v>
      </c>
      <c r="P121" s="147">
        <v>539237000</v>
      </c>
      <c r="Q121" s="284" t="s">
        <v>343</v>
      </c>
    </row>
    <row r="122" spans="1:17" ht="113.25" customHeight="1">
      <c r="A122" s="138">
        <v>113</v>
      </c>
      <c r="B122" s="167" t="s">
        <v>217</v>
      </c>
      <c r="C122" s="139" t="s">
        <v>289</v>
      </c>
      <c r="D122" s="145" t="s">
        <v>165</v>
      </c>
      <c r="E122" s="31" t="s">
        <v>8</v>
      </c>
      <c r="F122" s="143">
        <v>1242</v>
      </c>
      <c r="G122" s="144">
        <v>74</v>
      </c>
      <c r="H122" s="227">
        <v>0</v>
      </c>
      <c r="I122" s="227">
        <v>0</v>
      </c>
      <c r="J122" s="38">
        <v>129599</v>
      </c>
      <c r="K122" s="38">
        <v>0</v>
      </c>
      <c r="L122" s="38"/>
      <c r="M122" s="38">
        <v>11000</v>
      </c>
      <c r="N122" s="38">
        <f>J122-K122-M122</f>
        <v>118599</v>
      </c>
      <c r="O122" s="31">
        <v>2022</v>
      </c>
      <c r="P122" s="102">
        <v>97009404</v>
      </c>
      <c r="Q122" s="300" t="s">
        <v>397</v>
      </c>
    </row>
    <row r="123" spans="1:17" ht="210.75" customHeight="1">
      <c r="A123" s="138">
        <v>114</v>
      </c>
      <c r="B123" s="167" t="s">
        <v>159</v>
      </c>
      <c r="C123" s="139" t="s">
        <v>289</v>
      </c>
      <c r="D123" s="145" t="s">
        <v>166</v>
      </c>
      <c r="E123" s="31" t="s">
        <v>8</v>
      </c>
      <c r="F123" s="143">
        <v>424</v>
      </c>
      <c r="G123" s="144">
        <v>72.5</v>
      </c>
      <c r="H123" s="227">
        <v>0.03</v>
      </c>
      <c r="I123" s="227">
        <v>0.22</v>
      </c>
      <c r="J123" s="142">
        <v>2077510</v>
      </c>
      <c r="K123" s="142">
        <v>447420</v>
      </c>
      <c r="L123" s="142"/>
      <c r="M123" s="142">
        <v>0</v>
      </c>
      <c r="N123" s="38">
        <f aca="true" t="shared" si="4" ref="N123:N139">J123-K123-M123</f>
        <v>1630090</v>
      </c>
      <c r="O123" s="145" t="s">
        <v>324</v>
      </c>
      <c r="P123" s="102">
        <f>2077509685/4.8</f>
        <v>432814517.7083334</v>
      </c>
      <c r="Q123" s="288" t="s">
        <v>363</v>
      </c>
    </row>
    <row r="124" spans="1:17" ht="87" customHeight="1">
      <c r="A124" s="138">
        <v>115</v>
      </c>
      <c r="B124" s="167" t="s">
        <v>208</v>
      </c>
      <c r="C124" s="139" t="s">
        <v>289</v>
      </c>
      <c r="D124" s="145" t="s">
        <v>168</v>
      </c>
      <c r="E124" s="31" t="s">
        <v>8</v>
      </c>
      <c r="F124" s="143">
        <v>390</v>
      </c>
      <c r="G124" s="144">
        <v>72</v>
      </c>
      <c r="H124" s="227">
        <v>0.3655</v>
      </c>
      <c r="I124" s="227">
        <v>0.3664</v>
      </c>
      <c r="J124" s="38">
        <v>1538459</v>
      </c>
      <c r="K124" s="38">
        <v>563750</v>
      </c>
      <c r="L124" s="38"/>
      <c r="M124" s="38">
        <v>10000</v>
      </c>
      <c r="N124" s="38">
        <f t="shared" si="4"/>
        <v>964709</v>
      </c>
      <c r="O124" s="139">
        <v>2025</v>
      </c>
      <c r="P124" s="102">
        <f>109464906.95/4.8</f>
        <v>22805188.947916668</v>
      </c>
      <c r="Q124" s="294"/>
    </row>
    <row r="125" spans="1:17" ht="87" customHeight="1">
      <c r="A125" s="138">
        <v>116</v>
      </c>
      <c r="B125" s="167" t="s">
        <v>262</v>
      </c>
      <c r="C125" s="139" t="s">
        <v>289</v>
      </c>
      <c r="D125" s="145" t="s">
        <v>165</v>
      </c>
      <c r="E125" s="31" t="s">
        <v>8</v>
      </c>
      <c r="F125" s="143">
        <v>363</v>
      </c>
      <c r="G125" s="141">
        <v>71</v>
      </c>
      <c r="H125" s="227">
        <v>0.426</v>
      </c>
      <c r="I125" s="227">
        <v>0.3865</v>
      </c>
      <c r="J125" s="38">
        <v>804868</v>
      </c>
      <c r="K125" s="38">
        <v>311118</v>
      </c>
      <c r="L125" s="38"/>
      <c r="M125" s="38">
        <v>300</v>
      </c>
      <c r="N125" s="38">
        <f t="shared" si="4"/>
        <v>493450</v>
      </c>
      <c r="O125" s="31" t="s">
        <v>374</v>
      </c>
      <c r="P125" s="146">
        <v>7.32</v>
      </c>
      <c r="Q125" s="294"/>
    </row>
    <row r="126" spans="1:17" ht="87" customHeight="1">
      <c r="A126" s="138">
        <v>117</v>
      </c>
      <c r="B126" s="39" t="s">
        <v>173</v>
      </c>
      <c r="C126" s="31" t="s">
        <v>78</v>
      </c>
      <c r="D126" s="145" t="s">
        <v>78</v>
      </c>
      <c r="E126" s="31" t="s">
        <v>8</v>
      </c>
      <c r="F126" s="143">
        <v>1228</v>
      </c>
      <c r="G126" s="144">
        <v>69</v>
      </c>
      <c r="H126" s="227">
        <v>0.5771</v>
      </c>
      <c r="I126" s="227">
        <v>0.531</v>
      </c>
      <c r="J126" s="38">
        <v>144528</v>
      </c>
      <c r="K126" s="38">
        <v>76737</v>
      </c>
      <c r="L126" s="38"/>
      <c r="M126" s="38">
        <v>40000</v>
      </c>
      <c r="N126" s="38">
        <f t="shared" si="4"/>
        <v>27791</v>
      </c>
      <c r="O126" s="31">
        <v>2023</v>
      </c>
      <c r="P126" s="102" t="s">
        <v>174</v>
      </c>
      <c r="Q126" s="294"/>
    </row>
    <row r="127" spans="1:17" ht="87" customHeight="1">
      <c r="A127" s="138">
        <v>118</v>
      </c>
      <c r="B127" s="39" t="s">
        <v>195</v>
      </c>
      <c r="C127" s="139" t="s">
        <v>289</v>
      </c>
      <c r="D127" s="145" t="s">
        <v>165</v>
      </c>
      <c r="E127" s="145" t="s">
        <v>8</v>
      </c>
      <c r="F127" s="139">
        <v>1267</v>
      </c>
      <c r="G127" s="144">
        <v>66</v>
      </c>
      <c r="H127" s="224">
        <v>0</v>
      </c>
      <c r="I127" s="224">
        <v>0</v>
      </c>
      <c r="J127" s="38">
        <v>238697</v>
      </c>
      <c r="K127" s="38">
        <v>0</v>
      </c>
      <c r="L127" s="38"/>
      <c r="M127" s="38">
        <v>0</v>
      </c>
      <c r="N127" s="38">
        <f t="shared" si="4"/>
        <v>238697</v>
      </c>
      <c r="O127" s="145" t="s">
        <v>170</v>
      </c>
      <c r="P127" s="102">
        <v>210663</v>
      </c>
      <c r="Q127" s="294"/>
    </row>
    <row r="128" spans="1:17" ht="87" customHeight="1">
      <c r="A128" s="138">
        <v>119</v>
      </c>
      <c r="B128" s="39" t="s">
        <v>259</v>
      </c>
      <c r="C128" s="139" t="s">
        <v>289</v>
      </c>
      <c r="D128" s="145" t="s">
        <v>165</v>
      </c>
      <c r="E128" s="145" t="s">
        <v>8</v>
      </c>
      <c r="F128" s="139">
        <v>1268</v>
      </c>
      <c r="G128" s="144">
        <v>64</v>
      </c>
      <c r="H128" s="224">
        <v>0</v>
      </c>
      <c r="I128" s="224">
        <v>0</v>
      </c>
      <c r="J128" s="38">
        <v>236673</v>
      </c>
      <c r="K128" s="38">
        <v>0</v>
      </c>
      <c r="L128" s="38"/>
      <c r="M128" s="38">
        <v>0</v>
      </c>
      <c r="N128" s="38">
        <f t="shared" si="4"/>
        <v>236673</v>
      </c>
      <c r="O128" s="145" t="s">
        <v>170</v>
      </c>
      <c r="P128" s="102">
        <v>37971</v>
      </c>
      <c r="Q128" s="294"/>
    </row>
    <row r="129" spans="1:17" ht="87" customHeight="1">
      <c r="A129" s="138">
        <v>120</v>
      </c>
      <c r="B129" s="167" t="s">
        <v>205</v>
      </c>
      <c r="C129" s="31" t="s">
        <v>28</v>
      </c>
      <c r="D129" s="145" t="s">
        <v>317</v>
      </c>
      <c r="E129" s="31" t="s">
        <v>8</v>
      </c>
      <c r="F129" s="143">
        <v>55</v>
      </c>
      <c r="G129" s="141">
        <v>63</v>
      </c>
      <c r="H129" s="227">
        <v>0.995</v>
      </c>
      <c r="I129" s="227">
        <v>0.6247</v>
      </c>
      <c r="J129" s="38">
        <v>118799</v>
      </c>
      <c r="K129" s="38">
        <v>74211</v>
      </c>
      <c r="L129" s="38">
        <v>2675</v>
      </c>
      <c r="M129" s="38">
        <v>11143</v>
      </c>
      <c r="N129" s="38">
        <f t="shared" si="4"/>
        <v>33445</v>
      </c>
      <c r="O129" s="31">
        <v>2021</v>
      </c>
      <c r="P129" s="204" t="s">
        <v>416</v>
      </c>
      <c r="Q129" s="284"/>
    </row>
    <row r="130" spans="1:17" ht="219.75" customHeight="1">
      <c r="A130" s="138">
        <v>121</v>
      </c>
      <c r="B130" s="167" t="s">
        <v>161</v>
      </c>
      <c r="C130" s="139" t="s">
        <v>289</v>
      </c>
      <c r="D130" s="145" t="s">
        <v>165</v>
      </c>
      <c r="E130" s="31" t="s">
        <v>8</v>
      </c>
      <c r="F130" s="143">
        <v>361</v>
      </c>
      <c r="G130" s="146">
        <v>61.5</v>
      </c>
      <c r="H130" s="227">
        <v>0.99</v>
      </c>
      <c r="I130" s="227">
        <v>0.8425</v>
      </c>
      <c r="J130" s="38">
        <v>660813</v>
      </c>
      <c r="K130" s="38">
        <v>556738</v>
      </c>
      <c r="L130" s="38"/>
      <c r="M130" s="38">
        <v>8</v>
      </c>
      <c r="N130" s="38">
        <f t="shared" si="4"/>
        <v>104067</v>
      </c>
      <c r="O130" s="104" t="s">
        <v>375</v>
      </c>
      <c r="P130" s="102" t="s">
        <v>174</v>
      </c>
      <c r="Q130" s="294" t="s">
        <v>398</v>
      </c>
    </row>
    <row r="131" spans="1:17" ht="108.75" customHeight="1">
      <c r="A131" s="138">
        <v>122</v>
      </c>
      <c r="B131" s="167" t="s">
        <v>51</v>
      </c>
      <c r="C131" s="139" t="s">
        <v>289</v>
      </c>
      <c r="D131" s="145" t="s">
        <v>165</v>
      </c>
      <c r="E131" s="31" t="s">
        <v>8</v>
      </c>
      <c r="F131" s="143">
        <v>348</v>
      </c>
      <c r="G131" s="144">
        <v>61.5</v>
      </c>
      <c r="H131" s="223">
        <v>0.99</v>
      </c>
      <c r="I131" s="227">
        <v>0.8361</v>
      </c>
      <c r="J131" s="38">
        <v>139677</v>
      </c>
      <c r="K131" s="38">
        <v>116759</v>
      </c>
      <c r="L131" s="38"/>
      <c r="M131" s="38">
        <v>2</v>
      </c>
      <c r="N131" s="38">
        <f t="shared" si="4"/>
        <v>22916</v>
      </c>
      <c r="O131" s="145" t="s">
        <v>375</v>
      </c>
      <c r="P131" s="147" t="s">
        <v>174</v>
      </c>
      <c r="Q131" s="294" t="s">
        <v>399</v>
      </c>
    </row>
    <row r="132" spans="1:17" ht="87.75" customHeight="1">
      <c r="A132" s="138">
        <v>123</v>
      </c>
      <c r="B132" s="167" t="s">
        <v>260</v>
      </c>
      <c r="C132" s="139" t="s">
        <v>289</v>
      </c>
      <c r="D132" s="145" t="s">
        <v>165</v>
      </c>
      <c r="E132" s="31" t="s">
        <v>8</v>
      </c>
      <c r="F132" s="143">
        <v>1254</v>
      </c>
      <c r="G132" s="144">
        <v>59</v>
      </c>
      <c r="H132" s="226">
        <v>0</v>
      </c>
      <c r="I132" s="227">
        <v>0</v>
      </c>
      <c r="J132" s="38">
        <v>307454</v>
      </c>
      <c r="K132" s="38">
        <v>0</v>
      </c>
      <c r="L132" s="38"/>
      <c r="M132" s="38">
        <v>0</v>
      </c>
      <c r="N132" s="38">
        <f t="shared" si="4"/>
        <v>307454</v>
      </c>
      <c r="O132" s="145" t="s">
        <v>170</v>
      </c>
      <c r="P132" s="102" t="s">
        <v>174</v>
      </c>
      <c r="Q132" s="294"/>
    </row>
    <row r="133" spans="1:17" ht="68.25" customHeight="1">
      <c r="A133" s="138">
        <v>124</v>
      </c>
      <c r="B133" s="167" t="s">
        <v>62</v>
      </c>
      <c r="C133" s="139" t="s">
        <v>289</v>
      </c>
      <c r="D133" s="145" t="s">
        <v>165</v>
      </c>
      <c r="E133" s="31" t="s">
        <v>8</v>
      </c>
      <c r="F133" s="143">
        <v>385</v>
      </c>
      <c r="G133" s="144">
        <v>58</v>
      </c>
      <c r="H133" s="223">
        <v>0.84</v>
      </c>
      <c r="I133" s="224">
        <v>0.6703</v>
      </c>
      <c r="J133" s="38">
        <v>303482</v>
      </c>
      <c r="K133" s="38">
        <v>203437</v>
      </c>
      <c r="L133" s="38"/>
      <c r="M133" s="38">
        <v>0</v>
      </c>
      <c r="N133" s="38">
        <f t="shared" si="4"/>
        <v>100045</v>
      </c>
      <c r="O133" s="145" t="s">
        <v>175</v>
      </c>
      <c r="P133" s="147" t="s">
        <v>174</v>
      </c>
      <c r="Q133" s="284" t="s">
        <v>400</v>
      </c>
    </row>
    <row r="134" spans="1:17" ht="87.75" customHeight="1">
      <c r="A134" s="138">
        <v>125</v>
      </c>
      <c r="B134" s="167" t="s">
        <v>63</v>
      </c>
      <c r="C134" s="139" t="s">
        <v>289</v>
      </c>
      <c r="D134" s="145" t="s">
        <v>165</v>
      </c>
      <c r="E134" s="31" t="s">
        <v>8</v>
      </c>
      <c r="F134" s="143">
        <v>714</v>
      </c>
      <c r="G134" s="144">
        <v>57.5</v>
      </c>
      <c r="H134" s="223">
        <v>0.004</v>
      </c>
      <c r="I134" s="224">
        <v>0.0031</v>
      </c>
      <c r="J134" s="38">
        <v>662844</v>
      </c>
      <c r="K134" s="38">
        <v>2078</v>
      </c>
      <c r="L134" s="38"/>
      <c r="M134" s="38">
        <v>2000</v>
      </c>
      <c r="N134" s="38">
        <f t="shared" si="4"/>
        <v>658766</v>
      </c>
      <c r="O134" s="145" t="s">
        <v>235</v>
      </c>
      <c r="P134" s="102" t="s">
        <v>174</v>
      </c>
      <c r="Q134" s="294"/>
    </row>
    <row r="135" spans="1:17" ht="87" customHeight="1">
      <c r="A135" s="138">
        <v>126</v>
      </c>
      <c r="B135" s="167" t="s">
        <v>163</v>
      </c>
      <c r="C135" s="139" t="s">
        <v>289</v>
      </c>
      <c r="D135" s="145" t="s">
        <v>165</v>
      </c>
      <c r="E135" s="31" t="s">
        <v>8</v>
      </c>
      <c r="F135" s="143">
        <v>1123</v>
      </c>
      <c r="G135" s="144">
        <v>57.5</v>
      </c>
      <c r="H135" s="226">
        <v>0</v>
      </c>
      <c r="I135" s="227">
        <v>0</v>
      </c>
      <c r="J135" s="38">
        <v>163036</v>
      </c>
      <c r="K135" s="38">
        <v>0</v>
      </c>
      <c r="L135" s="38"/>
      <c r="M135" s="38">
        <v>1365</v>
      </c>
      <c r="N135" s="38">
        <f t="shared" si="4"/>
        <v>161671</v>
      </c>
      <c r="O135" s="145" t="s">
        <v>170</v>
      </c>
      <c r="P135" s="102" t="s">
        <v>174</v>
      </c>
      <c r="Q135" s="294"/>
    </row>
    <row r="136" spans="1:17" ht="78.75" customHeight="1">
      <c r="A136" s="138">
        <v>127</v>
      </c>
      <c r="B136" s="244" t="s">
        <v>206</v>
      </c>
      <c r="C136" s="31" t="s">
        <v>28</v>
      </c>
      <c r="D136" s="145" t="s">
        <v>316</v>
      </c>
      <c r="E136" s="31" t="s">
        <v>8</v>
      </c>
      <c r="F136" s="143">
        <v>859</v>
      </c>
      <c r="G136" s="144">
        <v>54.5</v>
      </c>
      <c r="H136" s="224">
        <v>0.12</v>
      </c>
      <c r="I136" s="224">
        <v>0.1174</v>
      </c>
      <c r="J136" s="38">
        <v>102062</v>
      </c>
      <c r="K136" s="38">
        <v>11979</v>
      </c>
      <c r="L136" s="38">
        <v>0</v>
      </c>
      <c r="M136" s="38">
        <v>50</v>
      </c>
      <c r="N136" s="38">
        <f t="shared" si="4"/>
        <v>90033</v>
      </c>
      <c r="O136" s="145" t="s">
        <v>249</v>
      </c>
      <c r="P136" s="204" t="s">
        <v>174</v>
      </c>
      <c r="Q136" s="301" t="s">
        <v>250</v>
      </c>
    </row>
    <row r="137" spans="1:17" ht="87.75" customHeight="1">
      <c r="A137" s="138">
        <v>128</v>
      </c>
      <c r="B137" s="183" t="s">
        <v>197</v>
      </c>
      <c r="C137" s="139" t="s">
        <v>289</v>
      </c>
      <c r="D137" s="145" t="s">
        <v>165</v>
      </c>
      <c r="E137" s="145" t="s">
        <v>8</v>
      </c>
      <c r="F137" s="139">
        <v>1253</v>
      </c>
      <c r="G137" s="144">
        <v>51.5</v>
      </c>
      <c r="H137" s="224">
        <v>0.234</v>
      </c>
      <c r="I137" s="224">
        <v>0.4695</v>
      </c>
      <c r="J137" s="38">
        <v>124823</v>
      </c>
      <c r="K137" s="245">
        <v>58595</v>
      </c>
      <c r="L137" s="245"/>
      <c r="M137" s="38">
        <v>2984</v>
      </c>
      <c r="N137" s="38">
        <f t="shared" si="4"/>
        <v>63244</v>
      </c>
      <c r="O137" s="145" t="s">
        <v>170</v>
      </c>
      <c r="P137" s="146" t="s">
        <v>176</v>
      </c>
      <c r="Q137" s="294"/>
    </row>
    <row r="138" spans="1:17" ht="87.75" customHeight="1">
      <c r="A138" s="138">
        <v>129</v>
      </c>
      <c r="B138" s="39" t="s">
        <v>198</v>
      </c>
      <c r="C138" s="139" t="s">
        <v>289</v>
      </c>
      <c r="D138" s="145" t="s">
        <v>165</v>
      </c>
      <c r="E138" s="145" t="s">
        <v>8</v>
      </c>
      <c r="F138" s="139">
        <v>1237</v>
      </c>
      <c r="G138" s="144">
        <v>45.5</v>
      </c>
      <c r="H138" s="224">
        <v>0.76</v>
      </c>
      <c r="I138" s="224">
        <v>0.4726</v>
      </c>
      <c r="J138" s="38">
        <v>116779</v>
      </c>
      <c r="K138" s="38">
        <v>55128</v>
      </c>
      <c r="L138" s="38"/>
      <c r="M138" s="38">
        <v>5976</v>
      </c>
      <c r="N138" s="38">
        <f t="shared" si="4"/>
        <v>55675</v>
      </c>
      <c r="O138" s="145" t="s">
        <v>175</v>
      </c>
      <c r="P138" s="146" t="s">
        <v>176</v>
      </c>
      <c r="Q138" s="294"/>
    </row>
    <row r="139" spans="1:17" ht="79.5" customHeight="1" thickBot="1">
      <c r="A139" s="198">
        <v>130</v>
      </c>
      <c r="B139" s="246" t="s">
        <v>164</v>
      </c>
      <c r="C139" s="199" t="s">
        <v>289</v>
      </c>
      <c r="D139" s="200" t="s">
        <v>167</v>
      </c>
      <c r="E139" s="201" t="s">
        <v>8</v>
      </c>
      <c r="F139" s="202">
        <v>826</v>
      </c>
      <c r="G139" s="247">
        <v>28</v>
      </c>
      <c r="H139" s="248">
        <v>0.3931</v>
      </c>
      <c r="I139" s="248">
        <v>0.3931</v>
      </c>
      <c r="J139" s="249">
        <v>281159</v>
      </c>
      <c r="K139" s="249">
        <v>110518</v>
      </c>
      <c r="L139" s="249"/>
      <c r="M139" s="249">
        <v>3000</v>
      </c>
      <c r="N139" s="203">
        <f t="shared" si="4"/>
        <v>167641</v>
      </c>
      <c r="O139" s="250">
        <v>2030</v>
      </c>
      <c r="P139" s="251" t="s">
        <v>174</v>
      </c>
      <c r="Q139" s="302"/>
    </row>
    <row r="140" spans="1:17" ht="16.5" customHeight="1" thickBot="1">
      <c r="A140" s="451" t="s">
        <v>66</v>
      </c>
      <c r="B140" s="452"/>
      <c r="C140" s="158">
        <f>COUNT(A10:A139)</f>
        <v>130</v>
      </c>
      <c r="D140" s="158"/>
      <c r="E140" s="158"/>
      <c r="F140" s="158"/>
      <c r="G140" s="159"/>
      <c r="H140" s="159"/>
      <c r="I140" s="159"/>
      <c r="J140" s="160">
        <f>SUM(J10:J139)</f>
        <v>189250142</v>
      </c>
      <c r="K140" s="160">
        <f>SUM(K10:K139)</f>
        <v>49557647</v>
      </c>
      <c r="L140" s="160">
        <f>SUM(L10:L139)</f>
        <v>2675</v>
      </c>
      <c r="M140" s="160">
        <f>SUM(M10:M139)</f>
        <v>10226959</v>
      </c>
      <c r="N140" s="160">
        <f>SUM(N10:N139)</f>
        <v>129465536</v>
      </c>
      <c r="O140" s="161"/>
      <c r="P140" s="162"/>
      <c r="Q140" s="303"/>
    </row>
    <row r="141" spans="1:16" ht="15.75">
      <c r="A141" s="133"/>
      <c r="B141" s="133"/>
      <c r="C141" s="40"/>
      <c r="D141" s="40"/>
      <c r="E141" s="30"/>
      <c r="F141" s="30"/>
      <c r="G141" s="41"/>
      <c r="H141" s="252"/>
      <c r="I141" s="43"/>
      <c r="J141" s="41"/>
      <c r="K141" s="41"/>
      <c r="L141" s="41"/>
      <c r="M141" s="41"/>
      <c r="N141" s="41"/>
      <c r="O141" s="30"/>
      <c r="P141" s="42"/>
    </row>
    <row r="142" spans="1:16" ht="15.75" hidden="1">
      <c r="A142" s="133"/>
      <c r="B142" s="133"/>
      <c r="C142" s="40"/>
      <c r="D142" s="40"/>
      <c r="E142" s="30"/>
      <c r="F142" s="30"/>
      <c r="G142" s="41"/>
      <c r="H142" s="252"/>
      <c r="I142" s="43"/>
      <c r="J142" s="41"/>
      <c r="K142" s="41"/>
      <c r="L142" s="41"/>
      <c r="M142" s="41"/>
      <c r="N142" s="41"/>
      <c r="O142" s="30"/>
      <c r="P142" s="42"/>
    </row>
    <row r="143" spans="1:16" ht="15.75" hidden="1">
      <c r="A143" s="133"/>
      <c r="B143" s="133"/>
      <c r="C143" s="40"/>
      <c r="D143" s="40"/>
      <c r="E143" s="30"/>
      <c r="F143" s="30"/>
      <c r="G143" s="41"/>
      <c r="H143" s="252"/>
      <c r="I143" s="43"/>
      <c r="J143" s="41"/>
      <c r="K143" s="41"/>
      <c r="L143" s="41"/>
      <c r="M143" s="41"/>
      <c r="N143" s="41"/>
      <c r="O143" s="30"/>
      <c r="P143" s="42"/>
    </row>
    <row r="144" spans="1:16" ht="15.75" hidden="1">
      <c r="A144" s="133"/>
      <c r="B144" s="133"/>
      <c r="C144" s="40"/>
      <c r="D144" s="40"/>
      <c r="E144" s="30"/>
      <c r="F144" s="30"/>
      <c r="G144" s="41"/>
      <c r="H144" s="252"/>
      <c r="I144" s="43"/>
      <c r="J144" s="41"/>
      <c r="K144" s="41"/>
      <c r="L144" s="41"/>
      <c r="M144" s="41"/>
      <c r="N144" s="41"/>
      <c r="O144" s="30"/>
      <c r="P144" s="42"/>
    </row>
    <row r="145" spans="1:16" ht="15.75" hidden="1">
      <c r="A145" s="133"/>
      <c r="B145" s="133"/>
      <c r="C145" s="40"/>
      <c r="D145" s="40"/>
      <c r="E145" s="30"/>
      <c r="F145" s="30"/>
      <c r="G145" s="41"/>
      <c r="H145" s="252"/>
      <c r="I145" s="43"/>
      <c r="J145" s="41"/>
      <c r="K145" s="41"/>
      <c r="L145" s="41"/>
      <c r="M145" s="41"/>
      <c r="N145" s="41"/>
      <c r="O145" s="30"/>
      <c r="P145" s="42"/>
    </row>
    <row r="146" spans="1:17" s="18" customFormat="1" ht="19.5" customHeight="1" hidden="1">
      <c r="A146" s="44"/>
      <c r="B146" s="412"/>
      <c r="C146" s="412"/>
      <c r="D146" s="412"/>
      <c r="E146" s="412"/>
      <c r="F146" s="412"/>
      <c r="G146" s="412"/>
      <c r="H146" s="412"/>
      <c r="I146" s="412"/>
      <c r="J146" s="412"/>
      <c r="K146" s="411"/>
      <c r="L146" s="411"/>
      <c r="M146" s="411"/>
      <c r="N146" s="412"/>
      <c r="O146" s="412"/>
      <c r="P146" s="412"/>
      <c r="Q146" s="412"/>
    </row>
    <row r="147" spans="1:18" s="18" customFormat="1" ht="19.5" customHeight="1">
      <c r="A147" s="194" t="s">
        <v>421</v>
      </c>
      <c r="B147" s="253" t="s">
        <v>165</v>
      </c>
      <c r="C147" s="254"/>
      <c r="D147" s="255"/>
      <c r="E147" s="255"/>
      <c r="F147" s="256"/>
      <c r="G147" s="257"/>
      <c r="H147" s="258"/>
      <c r="I147" s="258"/>
      <c r="J147" s="255"/>
      <c r="K147" s="259"/>
      <c r="L147" s="259"/>
      <c r="M147" s="259"/>
      <c r="N147" s="259"/>
      <c r="O147" s="259"/>
      <c r="P147" s="259"/>
      <c r="Q147" s="304"/>
      <c r="R147" s="188"/>
    </row>
    <row r="148" spans="1:18" s="18" customFormat="1" ht="19.5" customHeight="1">
      <c r="A148" s="445" t="s">
        <v>422</v>
      </c>
      <c r="B148" s="445"/>
      <c r="C148" s="445"/>
      <c r="D148" s="445"/>
      <c r="E148" s="445"/>
      <c r="F148" s="445"/>
      <c r="G148" s="445"/>
      <c r="H148" s="445"/>
      <c r="I148" s="445"/>
      <c r="J148" s="445"/>
      <c r="Q148" s="305"/>
      <c r="R148" s="189"/>
    </row>
    <row r="149" spans="1:18" s="18" customFormat="1" ht="19.5" customHeight="1">
      <c r="A149" s="445" t="s">
        <v>423</v>
      </c>
      <c r="B149" s="445"/>
      <c r="C149" s="445"/>
      <c r="D149" s="445"/>
      <c r="E149" s="445"/>
      <c r="F149" s="445"/>
      <c r="G149" s="445"/>
      <c r="H149" s="445"/>
      <c r="I149" s="445"/>
      <c r="J149" s="445"/>
      <c r="Q149" s="305"/>
      <c r="R149" s="189"/>
    </row>
    <row r="150" spans="1:18" s="18" customFormat="1" ht="19.5" customHeight="1">
      <c r="A150" s="445" t="s">
        <v>424</v>
      </c>
      <c r="B150" s="445"/>
      <c r="C150" s="445"/>
      <c r="D150" s="445"/>
      <c r="E150" s="445"/>
      <c r="F150" s="445"/>
      <c r="G150" s="445"/>
      <c r="H150" s="445"/>
      <c r="I150" s="445"/>
      <c r="J150" s="445"/>
      <c r="Q150" s="305"/>
      <c r="R150" s="189"/>
    </row>
    <row r="151" spans="17:18" s="18" customFormat="1" ht="19.5" customHeight="1">
      <c r="Q151" s="305"/>
      <c r="R151" s="189"/>
    </row>
    <row r="152" spans="1:18" s="18" customFormat="1" ht="19.5" customHeight="1">
      <c r="A152" s="194" t="s">
        <v>421</v>
      </c>
      <c r="B152" s="260" t="s">
        <v>425</v>
      </c>
      <c r="C152" s="261"/>
      <c r="D152" s="262"/>
      <c r="E152" s="263"/>
      <c r="F152" s="263"/>
      <c r="G152" s="264"/>
      <c r="H152" s="264"/>
      <c r="I152" s="264"/>
      <c r="J152" s="262"/>
      <c r="K152" s="264"/>
      <c r="L152" s="264"/>
      <c r="M152" s="264"/>
      <c r="N152" s="264"/>
      <c r="O152" s="264"/>
      <c r="P152" s="264"/>
      <c r="Q152" s="306"/>
      <c r="R152" s="190"/>
    </row>
    <row r="153" spans="1:18" s="18" customFormat="1" ht="36.75" customHeight="1">
      <c r="A153" s="444" t="s">
        <v>426</v>
      </c>
      <c r="B153" s="444"/>
      <c r="C153" s="444"/>
      <c r="D153" s="444"/>
      <c r="E153" s="444"/>
      <c r="F153" s="444"/>
      <c r="G153" s="444"/>
      <c r="H153" s="444"/>
      <c r="I153" s="444"/>
      <c r="J153" s="444"/>
      <c r="K153" s="444"/>
      <c r="L153" s="444"/>
      <c r="M153" s="444"/>
      <c r="N153" s="444"/>
      <c r="O153" s="444"/>
      <c r="P153" s="444"/>
      <c r="Q153" s="444"/>
      <c r="R153" s="444"/>
    </row>
    <row r="154" spans="1:18" s="18" customFormat="1" ht="72.75" customHeight="1">
      <c r="A154" s="444" t="s">
        <v>427</v>
      </c>
      <c r="B154" s="444"/>
      <c r="C154" s="444"/>
      <c r="D154" s="444"/>
      <c r="E154" s="444"/>
      <c r="F154" s="444"/>
      <c r="G154" s="444"/>
      <c r="H154" s="444"/>
      <c r="I154" s="444"/>
      <c r="J154" s="444"/>
      <c r="K154" s="444"/>
      <c r="L154" s="444"/>
      <c r="M154" s="444"/>
      <c r="N154" s="444"/>
      <c r="O154" s="444"/>
      <c r="P154" s="444"/>
      <c r="Q154" s="444"/>
      <c r="R154" s="444"/>
    </row>
    <row r="155" spans="1:18" s="18" customFormat="1" ht="19.5" customHeight="1">
      <c r="A155" s="194" t="s">
        <v>421</v>
      </c>
      <c r="B155" s="265" t="s">
        <v>428</v>
      </c>
      <c r="C155" s="197"/>
      <c r="D155" s="197"/>
      <c r="E155" s="197"/>
      <c r="F155" s="196"/>
      <c r="G155" s="196"/>
      <c r="H155" s="196"/>
      <c r="I155" s="196"/>
      <c r="J155" s="196"/>
      <c r="K155" s="196"/>
      <c r="L155" s="196"/>
      <c r="M155" s="196"/>
      <c r="N155" s="196"/>
      <c r="O155" s="196"/>
      <c r="P155" s="196"/>
      <c r="Q155" s="196"/>
      <c r="R155" s="191"/>
    </row>
    <row r="156" spans="1:18" s="18" customFormat="1" ht="19.5" customHeight="1">
      <c r="A156" s="195" t="s">
        <v>429</v>
      </c>
      <c r="B156" s="195"/>
      <c r="C156" s="197"/>
      <c r="D156" s="197"/>
      <c r="E156" s="197"/>
      <c r="F156" s="196"/>
      <c r="G156" s="196"/>
      <c r="H156" s="196"/>
      <c r="I156" s="196"/>
      <c r="J156" s="196"/>
      <c r="K156" s="196"/>
      <c r="L156" s="196"/>
      <c r="M156" s="196"/>
      <c r="N156" s="196"/>
      <c r="O156" s="196"/>
      <c r="P156" s="196"/>
      <c r="Q156" s="196"/>
      <c r="R156" s="191"/>
    </row>
    <row r="157" spans="1:18" s="18" customFormat="1" ht="19.5" customHeight="1">
      <c r="A157" s="196" t="s">
        <v>430</v>
      </c>
      <c r="B157" s="266"/>
      <c r="C157" s="266"/>
      <c r="D157" s="266"/>
      <c r="E157" s="266"/>
      <c r="F157" s="266"/>
      <c r="G157" s="196"/>
      <c r="H157" s="196"/>
      <c r="I157" s="267"/>
      <c r="J157" s="268"/>
      <c r="K157" s="268"/>
      <c r="L157" s="268"/>
      <c r="M157" s="268"/>
      <c r="N157" s="268"/>
      <c r="O157" s="268"/>
      <c r="P157" s="267"/>
      <c r="Q157" s="305"/>
      <c r="R157" s="192"/>
    </row>
    <row r="158" spans="1:18" s="18" customFormat="1" ht="19.5" customHeight="1">
      <c r="A158" s="196" t="s">
        <v>431</v>
      </c>
      <c r="B158" s="266"/>
      <c r="C158" s="266"/>
      <c r="D158" s="266"/>
      <c r="E158" s="266"/>
      <c r="F158" s="266"/>
      <c r="G158" s="13"/>
      <c r="H158" s="13"/>
      <c r="I158" s="268"/>
      <c r="J158" s="268"/>
      <c r="K158" s="268"/>
      <c r="L158" s="268"/>
      <c r="M158" s="268"/>
      <c r="N158" s="268"/>
      <c r="O158" s="268"/>
      <c r="P158" s="268"/>
      <c r="Q158" s="196"/>
      <c r="R158" s="192"/>
    </row>
    <row r="159" spans="1:18" s="18" customFormat="1" ht="19.5" customHeight="1">
      <c r="A159" s="196"/>
      <c r="B159" s="196" t="s">
        <v>432</v>
      </c>
      <c r="C159" s="266"/>
      <c r="D159" s="266"/>
      <c r="E159" s="266"/>
      <c r="F159" s="266"/>
      <c r="G159" s="13"/>
      <c r="H159" s="13"/>
      <c r="I159" s="268"/>
      <c r="J159" s="268"/>
      <c r="K159" s="268"/>
      <c r="L159" s="268"/>
      <c r="M159" s="268"/>
      <c r="N159" s="268"/>
      <c r="O159" s="268"/>
      <c r="P159" s="268"/>
      <c r="Q159" s="196"/>
      <c r="R159" s="192"/>
    </row>
    <row r="160" spans="1:18" s="18" customFormat="1" ht="19.5" customHeight="1">
      <c r="A160" s="196"/>
      <c r="B160" s="459" t="s">
        <v>433</v>
      </c>
      <c r="C160" s="459"/>
      <c r="D160" s="459"/>
      <c r="E160" s="459"/>
      <c r="F160" s="459"/>
      <c r="G160" s="459"/>
      <c r="H160" s="459"/>
      <c r="I160" s="459"/>
      <c r="J160" s="459"/>
      <c r="K160" s="459"/>
      <c r="L160" s="459"/>
      <c r="M160" s="459"/>
      <c r="N160" s="269"/>
      <c r="O160" s="269"/>
      <c r="P160" s="269"/>
      <c r="Q160" s="305"/>
      <c r="R160" s="193"/>
    </row>
    <row r="161" spans="1:18" s="18" customFormat="1" ht="19.5" customHeight="1">
      <c r="A161" s="196"/>
      <c r="B161" s="196" t="s">
        <v>434</v>
      </c>
      <c r="C161" s="266"/>
      <c r="D161" s="266"/>
      <c r="E161" s="266"/>
      <c r="F161" s="266"/>
      <c r="G161" s="12"/>
      <c r="H161" s="12"/>
      <c r="I161" s="268"/>
      <c r="J161" s="268"/>
      <c r="K161" s="268"/>
      <c r="L161" s="268"/>
      <c r="M161" s="268"/>
      <c r="N161" s="268"/>
      <c r="O161" s="268"/>
      <c r="P161" s="268"/>
      <c r="Q161" s="196"/>
      <c r="R161" s="192"/>
    </row>
    <row r="162" spans="1:18" s="18" customFormat="1" ht="19.5" customHeight="1">
      <c r="A162" s="196"/>
      <c r="B162" s="196" t="s">
        <v>435</v>
      </c>
      <c r="C162" s="266"/>
      <c r="D162" s="266"/>
      <c r="E162" s="266"/>
      <c r="F162" s="266"/>
      <c r="G162" s="270"/>
      <c r="H162" s="270"/>
      <c r="I162" s="268"/>
      <c r="J162" s="268"/>
      <c r="K162" s="268"/>
      <c r="L162" s="268"/>
      <c r="M162" s="268"/>
      <c r="N162" s="268"/>
      <c r="O162" s="268"/>
      <c r="P162" s="268"/>
      <c r="Q162" s="196"/>
      <c r="R162" s="192"/>
    </row>
    <row r="163" spans="1:19" s="18" customFormat="1" ht="19.5" customHeight="1">
      <c r="A163" s="196"/>
      <c r="B163" s="196" t="s">
        <v>436</v>
      </c>
      <c r="C163" s="266"/>
      <c r="D163" s="266"/>
      <c r="E163" s="266"/>
      <c r="F163" s="266"/>
      <c r="G163" s="270"/>
      <c r="H163" s="270"/>
      <c r="I163" s="268"/>
      <c r="J163" s="268"/>
      <c r="K163" s="268"/>
      <c r="L163" s="268"/>
      <c r="M163" s="268"/>
      <c r="N163" s="268"/>
      <c r="O163" s="268"/>
      <c r="P163" s="268"/>
      <c r="Q163" s="196"/>
      <c r="R163" s="192"/>
      <c r="S163" s="28"/>
    </row>
    <row r="164" spans="1:19" s="18" customFormat="1" ht="19.5" customHeight="1">
      <c r="A164" s="196"/>
      <c r="B164" s="196"/>
      <c r="C164" s="266"/>
      <c r="D164" s="266"/>
      <c r="E164" s="266"/>
      <c r="F164" s="266"/>
      <c r="G164" s="270"/>
      <c r="H164" s="270"/>
      <c r="I164" s="268"/>
      <c r="J164" s="268"/>
      <c r="K164" s="268"/>
      <c r="L164" s="268"/>
      <c r="M164" s="268"/>
      <c r="N164" s="268"/>
      <c r="O164" s="268"/>
      <c r="P164" s="268"/>
      <c r="Q164" s="196"/>
      <c r="R164" s="192"/>
      <c r="S164" s="28"/>
    </row>
    <row r="165" spans="1:19" s="18" customFormat="1" ht="19.5" customHeight="1">
      <c r="A165" s="196"/>
      <c r="B165" s="196"/>
      <c r="C165" s="266"/>
      <c r="D165" s="266"/>
      <c r="E165" s="266"/>
      <c r="F165" s="266"/>
      <c r="G165" s="270"/>
      <c r="H165" s="270"/>
      <c r="I165" s="268"/>
      <c r="J165" s="268"/>
      <c r="K165" s="268"/>
      <c r="L165" s="268"/>
      <c r="M165" s="268"/>
      <c r="N165" s="268"/>
      <c r="O165" s="268"/>
      <c r="P165" s="268"/>
      <c r="Q165" s="196"/>
      <c r="R165" s="192"/>
      <c r="S165" s="28"/>
    </row>
    <row r="166" spans="1:19" s="18" customFormat="1" ht="19.5" customHeight="1">
      <c r="A166" s="196"/>
      <c r="B166" s="196"/>
      <c r="C166" s="266"/>
      <c r="D166" s="266"/>
      <c r="E166" s="266"/>
      <c r="F166" s="266"/>
      <c r="G166" s="270"/>
      <c r="H166" s="270"/>
      <c r="I166" s="268"/>
      <c r="J166" s="268"/>
      <c r="K166" s="268"/>
      <c r="L166" s="268"/>
      <c r="M166" s="268"/>
      <c r="N166" s="268"/>
      <c r="O166" s="268"/>
      <c r="P166" s="268"/>
      <c r="Q166" s="196"/>
      <c r="R166" s="192"/>
      <c r="S166" s="28"/>
    </row>
    <row r="167" spans="1:19" s="18" customFormat="1" ht="19.5" customHeight="1" hidden="1">
      <c r="A167" s="196"/>
      <c r="B167" s="196"/>
      <c r="C167" s="266"/>
      <c r="D167" s="266"/>
      <c r="E167" s="266"/>
      <c r="F167" s="266"/>
      <c r="G167" s="270"/>
      <c r="H167" s="270"/>
      <c r="I167" s="268"/>
      <c r="J167" s="268"/>
      <c r="K167" s="268"/>
      <c r="L167" s="268"/>
      <c r="M167" s="268"/>
      <c r="N167" s="268"/>
      <c r="O167" s="268"/>
      <c r="P167" s="268"/>
      <c r="Q167" s="196"/>
      <c r="R167" s="192"/>
      <c r="S167" s="28"/>
    </row>
    <row r="168" spans="1:19" s="18" customFormat="1" ht="19.5" customHeight="1" hidden="1">
      <c r="A168" s="196"/>
      <c r="B168" s="196"/>
      <c r="C168" s="266"/>
      <c r="D168" s="266"/>
      <c r="E168" s="266"/>
      <c r="F168" s="266"/>
      <c r="G168" s="270"/>
      <c r="H168" s="270"/>
      <c r="I168" s="268"/>
      <c r="J168" s="268"/>
      <c r="K168" s="268"/>
      <c r="L168" s="268"/>
      <c r="M168" s="268"/>
      <c r="N168" s="268"/>
      <c r="O168" s="268"/>
      <c r="P168" s="268"/>
      <c r="Q168" s="196"/>
      <c r="R168" s="192"/>
      <c r="S168" s="28"/>
    </row>
    <row r="169" spans="1:19" s="18" customFormat="1" ht="20.25" customHeight="1" hidden="1" thickBot="1">
      <c r="A169" s="197"/>
      <c r="C169" s="197"/>
      <c r="D169" s="197"/>
      <c r="E169" s="197"/>
      <c r="F169" s="196"/>
      <c r="G169" s="196"/>
      <c r="H169" s="196"/>
      <c r="I169" s="196"/>
      <c r="J169" s="196"/>
      <c r="K169" s="196"/>
      <c r="L169" s="196"/>
      <c r="M169" s="196"/>
      <c r="N169" s="196"/>
      <c r="O169" s="196"/>
      <c r="P169" s="196"/>
      <c r="Q169" s="196"/>
      <c r="R169" s="191"/>
      <c r="S169" s="28"/>
    </row>
    <row r="170" spans="1:19" s="2" customFormat="1" ht="15.75" hidden="1">
      <c r="A170" s="32"/>
      <c r="B170" s="186"/>
      <c r="C170" s="47"/>
      <c r="D170" s="47"/>
      <c r="E170" s="48"/>
      <c r="F170" s="47"/>
      <c r="G170" s="85"/>
      <c r="H170" s="49"/>
      <c r="I170" s="45"/>
      <c r="J170" s="33"/>
      <c r="K170" s="33"/>
      <c r="L170" s="33"/>
      <c r="M170" s="33"/>
      <c r="N170" s="50"/>
      <c r="O170" s="45"/>
      <c r="P170" s="45"/>
      <c r="Q170" s="285"/>
      <c r="S170" s="19"/>
    </row>
    <row r="171" spans="1:19" s="2" customFormat="1" ht="15.75" hidden="1">
      <c r="A171" s="47"/>
      <c r="B171" s="51"/>
      <c r="C171" s="52"/>
      <c r="D171" s="52"/>
      <c r="E171" s="48"/>
      <c r="F171" s="49"/>
      <c r="G171" s="85"/>
      <c r="H171" s="49"/>
      <c r="I171" s="49"/>
      <c r="J171" s="271"/>
      <c r="K171" s="133"/>
      <c r="L171" s="133"/>
      <c r="M171" s="133"/>
      <c r="N171" s="53" t="s">
        <v>336</v>
      </c>
      <c r="O171" s="54"/>
      <c r="P171" s="55"/>
      <c r="Q171" s="307"/>
      <c r="R171" s="10"/>
      <c r="S171" s="20"/>
    </row>
    <row r="172" spans="1:19" s="2" customFormat="1" ht="16.5" hidden="1" thickBot="1">
      <c r="A172" s="47"/>
      <c r="B172" s="51"/>
      <c r="C172" s="52"/>
      <c r="D172" s="52"/>
      <c r="E172" s="48"/>
      <c r="F172" s="49"/>
      <c r="G172" s="85"/>
      <c r="H172" s="49"/>
      <c r="I172" s="49"/>
      <c r="J172" s="271"/>
      <c r="K172" s="133"/>
      <c r="L172" s="133"/>
      <c r="M172" s="133"/>
      <c r="N172" s="56"/>
      <c r="O172" s="57"/>
      <c r="P172" s="58"/>
      <c r="Q172" s="307"/>
      <c r="R172" s="10"/>
      <c r="S172" s="20"/>
    </row>
    <row r="173" spans="1:25" s="2" customFormat="1" ht="15" customHeight="1" hidden="1">
      <c r="A173" s="47"/>
      <c r="B173" s="51" t="s">
        <v>75</v>
      </c>
      <c r="C173" s="47"/>
      <c r="D173" s="47"/>
      <c r="E173" s="133" t="s">
        <v>92</v>
      </c>
      <c r="F173" s="133" t="s">
        <v>72</v>
      </c>
      <c r="G173" s="84" t="s">
        <v>73</v>
      </c>
      <c r="H173" s="59" t="s">
        <v>74</v>
      </c>
      <c r="I173" s="60" t="s">
        <v>87</v>
      </c>
      <c r="J173" s="272" t="s">
        <v>76</v>
      </c>
      <c r="K173" s="273"/>
      <c r="L173" s="273"/>
      <c r="M173" s="273"/>
      <c r="N173" s="50"/>
      <c r="O173" s="61" t="s">
        <v>90</v>
      </c>
      <c r="P173" s="62" t="s">
        <v>91</v>
      </c>
      <c r="Q173" s="307" t="s">
        <v>100</v>
      </c>
      <c r="R173" s="9" t="s">
        <v>101</v>
      </c>
      <c r="S173" s="21" t="s">
        <v>102</v>
      </c>
      <c r="T173" s="3" t="s">
        <v>103</v>
      </c>
      <c r="U173" s="3" t="s">
        <v>104</v>
      </c>
      <c r="V173" s="3" t="s">
        <v>105</v>
      </c>
      <c r="W173" s="2" t="s">
        <v>106</v>
      </c>
      <c r="X173" s="2" t="s">
        <v>107</v>
      </c>
      <c r="Y173" s="2" t="s">
        <v>123</v>
      </c>
    </row>
    <row r="174" spans="1:25" s="2" customFormat="1" ht="15" customHeight="1" hidden="1">
      <c r="A174" s="63">
        <v>1</v>
      </c>
      <c r="B174" s="107" t="s">
        <v>412</v>
      </c>
      <c r="C174" s="31" t="s">
        <v>289</v>
      </c>
      <c r="D174" s="31">
        <v>140</v>
      </c>
      <c r="E174" s="64">
        <f>D174/D182</f>
        <v>0.7909604519774012</v>
      </c>
      <c r="F174" s="65">
        <v>41</v>
      </c>
      <c r="G174" s="128">
        <v>53</v>
      </c>
      <c r="H174" s="274">
        <v>46</v>
      </c>
      <c r="I174" s="127">
        <f>D174-F174-G174-H174</f>
        <v>0</v>
      </c>
      <c r="J174" s="275">
        <f aca="true" t="shared" si="5" ref="J174:J181">F174+G174</f>
        <v>94</v>
      </c>
      <c r="K174" s="276"/>
      <c r="L174" s="276"/>
      <c r="M174" s="276"/>
      <c r="N174" s="66" t="s">
        <v>289</v>
      </c>
      <c r="O174" s="67">
        <f aca="true" t="shared" si="6" ref="O174:O181">SUMIF($C$10:$C$139,$C174,J$10:J$139)</f>
        <v>168368081</v>
      </c>
      <c r="P174" s="68">
        <f aca="true" t="shared" si="7" ref="P174:P181">SUMIF($C$10:$C$139,$C174,N$10:N$139)</f>
        <v>112666872</v>
      </c>
      <c r="Q174" s="308">
        <f aca="true" t="shared" si="8" ref="Q174:Q179">I185+C185</f>
        <v>168368081</v>
      </c>
      <c r="R174" s="10">
        <f>E185</f>
        <v>0</v>
      </c>
      <c r="S174" s="22">
        <f>I197</f>
        <v>112666872</v>
      </c>
      <c r="T174" s="8">
        <f>E197</f>
        <v>0</v>
      </c>
      <c r="U174" s="8">
        <f>O174-Q174-R174</f>
        <v>0</v>
      </c>
      <c r="V174" s="8">
        <f>P174-S174-T174</f>
        <v>0</v>
      </c>
      <c r="W174" s="8">
        <f>J174</f>
        <v>94</v>
      </c>
      <c r="X174" s="8">
        <f aca="true" t="shared" si="9" ref="X174:X182">H174</f>
        <v>46</v>
      </c>
      <c r="Y174" s="8">
        <f>W174+X174</f>
        <v>140</v>
      </c>
    </row>
    <row r="175" spans="1:25" s="2" customFormat="1" ht="15" customHeight="1" hidden="1">
      <c r="A175" s="63">
        <v>2</v>
      </c>
      <c r="B175" s="39" t="s">
        <v>67</v>
      </c>
      <c r="C175" s="31" t="s">
        <v>9</v>
      </c>
      <c r="D175" s="31">
        <f>COUNTIF($C$10:$C$139,"MS")</f>
        <v>7</v>
      </c>
      <c r="E175" s="64">
        <f>D175/D182</f>
        <v>0.03954802259887006</v>
      </c>
      <c r="F175" s="65">
        <v>6</v>
      </c>
      <c r="G175" s="128">
        <v>1</v>
      </c>
      <c r="H175" s="274">
        <f>_xlfn.COUNTIFS($C$29:$C$139,"MS",$H$29:$H$139,"100,00%")</f>
        <v>0</v>
      </c>
      <c r="I175" s="127">
        <f aca="true" t="shared" si="10" ref="I175:I181">D175-F175-G175-H175</f>
        <v>0</v>
      </c>
      <c r="J175" s="275">
        <f t="shared" si="5"/>
        <v>7</v>
      </c>
      <c r="K175" s="276"/>
      <c r="L175" s="276"/>
      <c r="M175" s="276"/>
      <c r="N175" s="66" t="s">
        <v>9</v>
      </c>
      <c r="O175" s="67">
        <f t="shared" si="6"/>
        <v>9086076</v>
      </c>
      <c r="P175" s="68">
        <f t="shared" si="7"/>
        <v>8971921</v>
      </c>
      <c r="Q175" s="308">
        <f t="shared" si="8"/>
        <v>9086076</v>
      </c>
      <c r="R175" s="10">
        <f>E186</f>
        <v>0</v>
      </c>
      <c r="S175" s="22">
        <f>I198</f>
        <v>75136</v>
      </c>
      <c r="T175" s="8">
        <f>E198</f>
        <v>0</v>
      </c>
      <c r="U175" s="8">
        <f aca="true" t="shared" si="11" ref="U175:U181">O175-Q175-R175</f>
        <v>0</v>
      </c>
      <c r="V175" s="8">
        <f aca="true" t="shared" si="12" ref="V175:V181">P175-S175-T175</f>
        <v>8896785</v>
      </c>
      <c r="W175" s="8">
        <f aca="true" t="shared" si="13" ref="W175:W182">J175</f>
        <v>7</v>
      </c>
      <c r="X175" s="8">
        <f t="shared" si="9"/>
        <v>0</v>
      </c>
      <c r="Y175" s="8">
        <f aca="true" t="shared" si="14" ref="Y175:Y182">W175+X175</f>
        <v>7</v>
      </c>
    </row>
    <row r="176" spans="1:25" s="2" customFormat="1" ht="15" customHeight="1" hidden="1">
      <c r="A176" s="63">
        <v>3</v>
      </c>
      <c r="B176" s="39" t="s">
        <v>68</v>
      </c>
      <c r="C176" s="31" t="s">
        <v>28</v>
      </c>
      <c r="D176" s="31">
        <f>COUNTIF($C$10:$C$139,"MJ")</f>
        <v>4</v>
      </c>
      <c r="E176" s="64">
        <f>D176/D182</f>
        <v>0.022598870056497175</v>
      </c>
      <c r="F176" s="65">
        <f>_xlfn.COUNTIFS($C$29:$C$139,"MJ",$H$29:$H$139,"0,00%")</f>
        <v>2</v>
      </c>
      <c r="G176" s="128">
        <f>_xlfn.COUNTIFS($C$29:$C$139,"MJ",$H$29:$H$139,"&gt;0,00%")-_xlfn.COUNTIFS($C$29:$C$139,"MJ",$H$29:$H$139,"100,00%")</f>
        <v>2</v>
      </c>
      <c r="H176" s="274">
        <f>_xlfn.COUNTIFS($C$29:$C$139,"MJ",$H$29:$H$139,"100,00%")</f>
        <v>0</v>
      </c>
      <c r="I176" s="127">
        <f t="shared" si="10"/>
        <v>0</v>
      </c>
      <c r="J176" s="275">
        <f t="shared" si="5"/>
        <v>4</v>
      </c>
      <c r="K176" s="276"/>
      <c r="L176" s="276"/>
      <c r="M176" s="276"/>
      <c r="N176" s="66" t="s">
        <v>28</v>
      </c>
      <c r="O176" s="67">
        <f t="shared" si="6"/>
        <v>1090462</v>
      </c>
      <c r="P176" s="68">
        <f t="shared" si="7"/>
        <v>971539</v>
      </c>
      <c r="Q176" s="308">
        <f t="shared" si="8"/>
        <v>1090462</v>
      </c>
      <c r="R176" s="10">
        <f>E187</f>
        <v>0</v>
      </c>
      <c r="S176" s="22">
        <f>I199</f>
        <v>123478</v>
      </c>
      <c r="T176" s="8">
        <f>E199</f>
        <v>0</v>
      </c>
      <c r="U176" s="8">
        <f t="shared" si="11"/>
        <v>0</v>
      </c>
      <c r="V176" s="8">
        <f t="shared" si="12"/>
        <v>848061</v>
      </c>
      <c r="W176" s="8">
        <f t="shared" si="13"/>
        <v>4</v>
      </c>
      <c r="X176" s="8">
        <f t="shared" si="9"/>
        <v>0</v>
      </c>
      <c r="Y176" s="8">
        <f t="shared" si="14"/>
        <v>4</v>
      </c>
    </row>
    <row r="177" spans="1:25" s="2" customFormat="1" ht="15" customHeight="1" hidden="1">
      <c r="A177" s="63">
        <v>4</v>
      </c>
      <c r="B177" s="106" t="s">
        <v>414</v>
      </c>
      <c r="C177" s="104" t="s">
        <v>290</v>
      </c>
      <c r="D177" s="31">
        <v>9</v>
      </c>
      <c r="E177" s="64">
        <f>D177/D182</f>
        <v>0.05084745762711865</v>
      </c>
      <c r="F177" s="65">
        <v>5</v>
      </c>
      <c r="G177" s="128">
        <v>4</v>
      </c>
      <c r="H177" s="274">
        <f>_xlfn.COUNTIFS($C$29:$C$139,"MLPDA",$H$29:$H$139,"100,00%")</f>
        <v>0</v>
      </c>
      <c r="I177" s="127">
        <f t="shared" si="10"/>
        <v>0</v>
      </c>
      <c r="J177" s="275">
        <f t="shared" si="5"/>
        <v>9</v>
      </c>
      <c r="K177" s="276"/>
      <c r="L177" s="276"/>
      <c r="M177" s="276"/>
      <c r="N177" s="66" t="s">
        <v>290</v>
      </c>
      <c r="O177" s="67">
        <f t="shared" si="6"/>
        <v>1627795</v>
      </c>
      <c r="P177" s="68">
        <f t="shared" si="7"/>
        <v>1336999</v>
      </c>
      <c r="Q177" s="308">
        <f t="shared" si="8"/>
        <v>1627795</v>
      </c>
      <c r="R177" s="10">
        <f>E188</f>
        <v>0</v>
      </c>
      <c r="S177" s="22">
        <f>I200</f>
        <v>1336999</v>
      </c>
      <c r="T177" s="8">
        <f>E200</f>
        <v>0</v>
      </c>
      <c r="U177" s="8">
        <f t="shared" si="11"/>
        <v>0</v>
      </c>
      <c r="V177" s="8">
        <f t="shared" si="12"/>
        <v>0</v>
      </c>
      <c r="W177" s="8">
        <f t="shared" si="13"/>
        <v>9</v>
      </c>
      <c r="X177" s="8">
        <f t="shared" si="9"/>
        <v>0</v>
      </c>
      <c r="Y177" s="8">
        <f t="shared" si="14"/>
        <v>9</v>
      </c>
    </row>
    <row r="178" spans="1:25" s="2" customFormat="1" ht="15" customHeight="1" hidden="1">
      <c r="A178" s="63">
        <v>5</v>
      </c>
      <c r="B178" s="39" t="s">
        <v>243</v>
      </c>
      <c r="C178" s="29" t="s">
        <v>239</v>
      </c>
      <c r="D178" s="31">
        <v>11</v>
      </c>
      <c r="E178" s="64">
        <f>D178/D182</f>
        <v>0.062146892655367235</v>
      </c>
      <c r="F178" s="65">
        <v>2</v>
      </c>
      <c r="G178" s="128">
        <v>8</v>
      </c>
      <c r="H178" s="274">
        <v>1</v>
      </c>
      <c r="I178" s="127">
        <f t="shared" si="10"/>
        <v>0</v>
      </c>
      <c r="J178" s="275">
        <f t="shared" si="5"/>
        <v>10</v>
      </c>
      <c r="K178" s="276"/>
      <c r="L178" s="276"/>
      <c r="M178" s="276"/>
      <c r="N178" s="70" t="s">
        <v>239</v>
      </c>
      <c r="O178" s="67">
        <f t="shared" si="6"/>
        <v>6375855</v>
      </c>
      <c r="P178" s="68">
        <f t="shared" si="7"/>
        <v>5017136</v>
      </c>
      <c r="Q178" s="308">
        <f t="shared" si="8"/>
        <v>6375855</v>
      </c>
      <c r="R178" s="10">
        <f>E189</f>
        <v>0</v>
      </c>
      <c r="S178" s="22">
        <f>I201</f>
        <v>4582548</v>
      </c>
      <c r="T178" s="8">
        <f>E201</f>
        <v>0</v>
      </c>
      <c r="U178" s="8">
        <f t="shared" si="11"/>
        <v>0</v>
      </c>
      <c r="V178" s="8">
        <f t="shared" si="12"/>
        <v>434588</v>
      </c>
      <c r="W178" s="8">
        <f t="shared" si="13"/>
        <v>10</v>
      </c>
      <c r="X178" s="8">
        <f t="shared" si="9"/>
        <v>1</v>
      </c>
      <c r="Y178" s="8">
        <f t="shared" si="14"/>
        <v>11</v>
      </c>
    </row>
    <row r="179" spans="1:25" s="2" customFormat="1" ht="15" customHeight="1" hidden="1">
      <c r="A179" s="63">
        <v>6</v>
      </c>
      <c r="B179" s="39" t="s">
        <v>413</v>
      </c>
      <c r="C179" s="31" t="s">
        <v>296</v>
      </c>
      <c r="D179" s="31">
        <v>2</v>
      </c>
      <c r="E179" s="64">
        <f>D179/D182</f>
        <v>0.011299435028248588</v>
      </c>
      <c r="F179" s="65">
        <f>_xlfn.COUNTIFS($C$29:$C$139,"MEC",$H$29:$H$139,"0,00%")</f>
        <v>0</v>
      </c>
      <c r="G179" s="128">
        <v>2</v>
      </c>
      <c r="H179" s="274">
        <f>_xlfn.COUNTIFS($C$29:$C$139,"MEC",$H$29:$H$139,"100,00%")</f>
        <v>0</v>
      </c>
      <c r="I179" s="127">
        <f t="shared" si="10"/>
        <v>0</v>
      </c>
      <c r="J179" s="275">
        <f t="shared" si="5"/>
        <v>2</v>
      </c>
      <c r="K179" s="276"/>
      <c r="L179" s="276"/>
      <c r="M179" s="276"/>
      <c r="N179" s="66" t="s">
        <v>296</v>
      </c>
      <c r="O179" s="67">
        <f t="shared" si="6"/>
        <v>2073960</v>
      </c>
      <c r="P179" s="68">
        <f t="shared" si="7"/>
        <v>97308</v>
      </c>
      <c r="Q179" s="308">
        <f t="shared" si="8"/>
        <v>2073960</v>
      </c>
      <c r="R179" s="10" t="e">
        <f>#REF!</f>
        <v>#REF!</v>
      </c>
      <c r="S179" s="22">
        <f>I203</f>
        <v>97308</v>
      </c>
      <c r="T179" s="8">
        <f>E203</f>
        <v>0</v>
      </c>
      <c r="U179" s="8" t="e">
        <f t="shared" si="11"/>
        <v>#REF!</v>
      </c>
      <c r="V179" s="8">
        <f t="shared" si="12"/>
        <v>0</v>
      </c>
      <c r="W179" s="8">
        <f t="shared" si="13"/>
        <v>2</v>
      </c>
      <c r="X179" s="8">
        <f t="shared" si="9"/>
        <v>0</v>
      </c>
      <c r="Y179" s="8">
        <f t="shared" si="14"/>
        <v>2</v>
      </c>
    </row>
    <row r="180" spans="1:25" s="2" customFormat="1" ht="15" customHeight="1" hidden="1">
      <c r="A180" s="63">
        <v>7</v>
      </c>
      <c r="B180" s="39" t="s">
        <v>264</v>
      </c>
      <c r="C180" s="31" t="s">
        <v>264</v>
      </c>
      <c r="D180" s="31">
        <v>1</v>
      </c>
      <c r="E180" s="64">
        <f>D180/D182</f>
        <v>0.005649717514124294</v>
      </c>
      <c r="F180" s="65">
        <v>1</v>
      </c>
      <c r="G180" s="128">
        <f>_xlfn.COUNTIFS($C$29:$C$139,"MEC",$H$29:$H$139,"&gt;0,00%")-_xlfn.COUNTIFS($C$29:$C$139,"MEC",$H$29:$H$139,"100,00%")</f>
        <v>0</v>
      </c>
      <c r="H180" s="274">
        <f>_xlfn.COUNTIFS($C$29:$C$139,"MEC",$H$29:$H$139,"100,00%")</f>
        <v>0</v>
      </c>
      <c r="I180" s="127">
        <f t="shared" si="10"/>
        <v>0</v>
      </c>
      <c r="J180" s="275">
        <f t="shared" si="5"/>
        <v>1</v>
      </c>
      <c r="K180" s="276"/>
      <c r="L180" s="276"/>
      <c r="M180" s="276"/>
      <c r="N180" s="66" t="s">
        <v>264</v>
      </c>
      <c r="O180" s="67">
        <f t="shared" si="6"/>
        <v>237420</v>
      </c>
      <c r="P180" s="68">
        <f t="shared" si="7"/>
        <v>135732</v>
      </c>
      <c r="Q180" s="308">
        <f>I192+C192</f>
        <v>390493</v>
      </c>
      <c r="R180" s="10">
        <f>E192</f>
        <v>0</v>
      </c>
      <c r="S180" s="22">
        <f>I205</f>
        <v>27791</v>
      </c>
      <c r="T180" s="8">
        <f>E205</f>
        <v>0</v>
      </c>
      <c r="U180" s="8">
        <f t="shared" si="11"/>
        <v>-153073</v>
      </c>
      <c r="V180" s="8">
        <f t="shared" si="12"/>
        <v>107941</v>
      </c>
      <c r="W180" s="8">
        <f t="shared" si="13"/>
        <v>1</v>
      </c>
      <c r="X180" s="8">
        <f t="shared" si="9"/>
        <v>0</v>
      </c>
      <c r="Y180" s="8">
        <f t="shared" si="14"/>
        <v>1</v>
      </c>
    </row>
    <row r="181" spans="1:25" s="2" customFormat="1" ht="15" customHeight="1" hidden="1">
      <c r="A181" s="63">
        <v>8</v>
      </c>
      <c r="B181" s="39" t="s">
        <v>77</v>
      </c>
      <c r="C181" s="31" t="s">
        <v>78</v>
      </c>
      <c r="D181" s="31">
        <f>COUNTIF($C$10:$C$139,"MApN")</f>
        <v>3</v>
      </c>
      <c r="E181" s="64">
        <f>D181/D182</f>
        <v>0.01694915254237288</v>
      </c>
      <c r="F181" s="65">
        <f>_xlfn.COUNTIFS($C$29:$C$139,"MApN",$H$29:$H$139,"0,00%")</f>
        <v>2</v>
      </c>
      <c r="G181" s="128">
        <f>_xlfn.COUNTIFS($C$29:$C$139,"MApN",$H$29:$H$139,"&gt;0,00%")-_xlfn.COUNTIFS($C$29:$C$139,"MApN",$H$29:$H$139,"100,00%")</f>
        <v>1</v>
      </c>
      <c r="H181" s="274">
        <f>_xlfn.COUNTIFS($C$29:$C$139,"MApN",$H$29:$H$139,"100,00%")</f>
        <v>0</v>
      </c>
      <c r="I181" s="127">
        <f t="shared" si="10"/>
        <v>0</v>
      </c>
      <c r="J181" s="275">
        <f t="shared" si="5"/>
        <v>3</v>
      </c>
      <c r="K181" s="276"/>
      <c r="L181" s="276"/>
      <c r="M181" s="276"/>
      <c r="N181" s="66" t="str">
        <f>C181</f>
        <v>MApN</v>
      </c>
      <c r="O181" s="67">
        <f t="shared" si="6"/>
        <v>390493</v>
      </c>
      <c r="P181" s="68">
        <f t="shared" si="7"/>
        <v>268029</v>
      </c>
      <c r="Q181" s="308">
        <f>I192+C192</f>
        <v>390493</v>
      </c>
      <c r="R181" s="10">
        <f>E192</f>
        <v>0</v>
      </c>
      <c r="S181" s="22">
        <f>I205</f>
        <v>27791</v>
      </c>
      <c r="T181" s="8">
        <f>E205</f>
        <v>0</v>
      </c>
      <c r="U181" s="8">
        <f t="shared" si="11"/>
        <v>0</v>
      </c>
      <c r="V181" s="8">
        <f t="shared" si="12"/>
        <v>240238</v>
      </c>
      <c r="W181" s="8">
        <f t="shared" si="13"/>
        <v>3</v>
      </c>
      <c r="X181" s="8">
        <f t="shared" si="9"/>
        <v>0</v>
      </c>
      <c r="Y181" s="8">
        <f t="shared" si="14"/>
        <v>3</v>
      </c>
    </row>
    <row r="182" spans="1:25" s="2" customFormat="1" ht="15" customHeight="1" hidden="1" thickBot="1">
      <c r="A182" s="47"/>
      <c r="B182" s="187"/>
      <c r="C182" s="47"/>
      <c r="D182" s="114">
        <f>SUM(D174:D181)</f>
        <v>177</v>
      </c>
      <c r="E182" s="71">
        <f>SUM(E174:E181)</f>
        <v>0.9999999999999999</v>
      </c>
      <c r="F182" s="126">
        <f>SUM(F174:F181)</f>
        <v>59</v>
      </c>
      <c r="G182" s="129">
        <f>SUM(G174:G181)</f>
        <v>71</v>
      </c>
      <c r="H182" s="126">
        <f>SUM(H174:H181)</f>
        <v>47</v>
      </c>
      <c r="I182" s="69"/>
      <c r="J182" s="275">
        <f>SUM(J174:J181)</f>
        <v>130</v>
      </c>
      <c r="K182" s="277"/>
      <c r="L182" s="277"/>
      <c r="M182" s="277"/>
      <c r="N182" s="72"/>
      <c r="O182" s="73">
        <f>SUM(O174:O181)</f>
        <v>189250142</v>
      </c>
      <c r="P182" s="74">
        <f>SUM(P174:P181)</f>
        <v>129465536</v>
      </c>
      <c r="Q182" s="308">
        <f>I193+C193</f>
        <v>189250142</v>
      </c>
      <c r="R182" s="10">
        <f>E193</f>
        <v>0</v>
      </c>
      <c r="S182" s="22">
        <f>I206</f>
        <v>119143172</v>
      </c>
      <c r="T182" s="8">
        <f>E206</f>
        <v>0</v>
      </c>
      <c r="U182" s="8">
        <f>O182-Q182-R182</f>
        <v>0</v>
      </c>
      <c r="V182" s="8">
        <f>P182-S182-T182</f>
        <v>10322364</v>
      </c>
      <c r="W182" s="8">
        <f t="shared" si="13"/>
        <v>130</v>
      </c>
      <c r="X182" s="8">
        <f t="shared" si="9"/>
        <v>47</v>
      </c>
      <c r="Y182" s="8">
        <f t="shared" si="14"/>
        <v>177</v>
      </c>
    </row>
    <row r="183" spans="1:20" s="2" customFormat="1" ht="15" customHeight="1" hidden="1" thickBot="1">
      <c r="A183" s="32"/>
      <c r="B183" s="186"/>
      <c r="C183" s="47"/>
      <c r="D183" s="47"/>
      <c r="E183" s="49">
        <f>F182+G182+H182</f>
        <v>177</v>
      </c>
      <c r="F183" s="49"/>
      <c r="G183" s="85"/>
      <c r="H183" s="49"/>
      <c r="I183" s="45"/>
      <c r="J183" s="46"/>
      <c r="K183" s="46"/>
      <c r="L183" s="46"/>
      <c r="M183" s="46"/>
      <c r="N183" s="33" t="s">
        <v>97</v>
      </c>
      <c r="O183" s="75">
        <f>J140-O182</f>
        <v>0</v>
      </c>
      <c r="P183" s="76">
        <f>N140-P182</f>
        <v>0</v>
      </c>
      <c r="Q183" s="453">
        <f>Q182+R182</f>
        <v>189250142</v>
      </c>
      <c r="R183" s="453"/>
      <c r="S183" s="454">
        <f>S182+T182</f>
        <v>119143172</v>
      </c>
      <c r="T183" s="454"/>
    </row>
    <row r="184" spans="1:19" s="2" customFormat="1" ht="15" customHeight="1" hidden="1" thickBot="1">
      <c r="A184" s="32"/>
      <c r="B184" s="51" t="s">
        <v>85</v>
      </c>
      <c r="C184" s="77" t="s">
        <v>88</v>
      </c>
      <c r="D184" s="78"/>
      <c r="E184" s="116" t="s">
        <v>89</v>
      </c>
      <c r="F184" s="130" t="s">
        <v>245</v>
      </c>
      <c r="G184" s="59" t="s">
        <v>86</v>
      </c>
      <c r="H184" s="278" t="s">
        <v>93</v>
      </c>
      <c r="I184" s="120" t="s">
        <v>244</v>
      </c>
      <c r="J184" s="279"/>
      <c r="K184" s="279"/>
      <c r="L184" s="279"/>
      <c r="M184" s="279"/>
      <c r="N184" s="48"/>
      <c r="O184" s="460" t="s">
        <v>98</v>
      </c>
      <c r="P184" s="460" t="s">
        <v>99</v>
      </c>
      <c r="Q184" s="285"/>
      <c r="S184" s="19"/>
    </row>
    <row r="185" spans="1:21" s="2" customFormat="1" ht="15" customHeight="1" hidden="1" thickBot="1">
      <c r="A185" s="32"/>
      <c r="B185" s="79" t="s">
        <v>289</v>
      </c>
      <c r="C185" s="67">
        <f>_xlfn.SUMIFS($J$10:$J$139,$C$10:$C$139,"MTIC",$H$10:$H$139,"0,00%")</f>
        <v>0</v>
      </c>
      <c r="D185" s="67"/>
      <c r="E185" s="117">
        <f>_xlfn.SUMIFS($J$29:$J$139,$C$29:$C$139,"MTIC",$H$29:$H$139,"100,00%")</f>
        <v>0</v>
      </c>
      <c r="F185" s="131">
        <f aca="true" t="shared" si="15" ref="F185:F192">C185+E185</f>
        <v>0</v>
      </c>
      <c r="G185" s="115">
        <f aca="true" t="shared" si="16" ref="G185:G192">O174</f>
        <v>168368081</v>
      </c>
      <c r="H185" s="280">
        <f>G185-F185-I185</f>
        <v>0</v>
      </c>
      <c r="I185" s="120">
        <f>G185-F185</f>
        <v>168368081</v>
      </c>
      <c r="J185" s="279"/>
      <c r="K185" s="279"/>
      <c r="L185" s="279"/>
      <c r="M185" s="279"/>
      <c r="N185" s="48"/>
      <c r="O185" s="461"/>
      <c r="P185" s="461"/>
      <c r="Q185" s="285"/>
      <c r="R185" s="448" t="s">
        <v>115</v>
      </c>
      <c r="S185" s="449"/>
      <c r="T185" s="450"/>
      <c r="U185" s="7" t="e">
        <f>U187+U192+U196+U201+U207+U212</f>
        <v>#REF!</v>
      </c>
    </row>
    <row r="186" spans="1:21" s="2" customFormat="1" ht="15" customHeight="1" hidden="1" thickBot="1">
      <c r="A186" s="32"/>
      <c r="B186" s="66" t="s">
        <v>9</v>
      </c>
      <c r="C186" s="67">
        <f>_xlfn.SUMIFS($J$10:$J$139,$C$10:$C$139,"MS",$H$10:$H$139,"0,00%")</f>
        <v>8935852</v>
      </c>
      <c r="D186" s="67"/>
      <c r="E186" s="117">
        <f>_xlfn.SUMIFS($J$29:$J$139,$C$29:$C$139,"MS",$H$29:$H$139,"100,00%")</f>
        <v>0</v>
      </c>
      <c r="F186" s="131">
        <f t="shared" si="15"/>
        <v>8935852</v>
      </c>
      <c r="G186" s="115">
        <f t="shared" si="16"/>
        <v>9086076</v>
      </c>
      <c r="H186" s="280">
        <f aca="true" t="shared" si="17" ref="H186:H191">G186-F186-I186</f>
        <v>0</v>
      </c>
      <c r="I186" s="120">
        <f aca="true" t="shared" si="18" ref="I186:I191">G186-F186</f>
        <v>150224</v>
      </c>
      <c r="J186" s="281"/>
      <c r="K186" s="281"/>
      <c r="L186" s="281"/>
      <c r="M186" s="281"/>
      <c r="N186" s="108" t="s">
        <v>289</v>
      </c>
      <c r="O186" s="81">
        <f>O174/$O$182</f>
        <v>0.8896589414448102</v>
      </c>
      <c r="P186" s="81">
        <f aca="true" t="shared" si="19" ref="P186:P193">P174/$P$182</f>
        <v>0.8702460552899576</v>
      </c>
      <c r="Q186" s="285"/>
      <c r="R186" s="17" t="s">
        <v>108</v>
      </c>
      <c r="S186" s="7" t="s">
        <v>111</v>
      </c>
      <c r="T186" s="7" t="s">
        <v>112</v>
      </c>
      <c r="U186" s="23" t="s">
        <v>113</v>
      </c>
    </row>
    <row r="187" spans="1:21" s="2" customFormat="1" ht="15" customHeight="1" hidden="1" thickBot="1">
      <c r="A187" s="32"/>
      <c r="B187" s="66" t="s">
        <v>28</v>
      </c>
      <c r="C187" s="67">
        <f>_xlfn.SUMIFS($J$10:$J$139,$C$10:$C$139,"MJ",$H$10:$H$139,"0,00%")</f>
        <v>869601</v>
      </c>
      <c r="D187" s="67"/>
      <c r="E187" s="117">
        <f>_xlfn.SUMIFS($J$29:$J$139,$C$29:$C$139,"MJ",$H$29:$H$139,"100,00%")</f>
        <v>0</v>
      </c>
      <c r="F187" s="131">
        <f t="shared" si="15"/>
        <v>869601</v>
      </c>
      <c r="G187" s="115">
        <f t="shared" si="16"/>
        <v>1090462</v>
      </c>
      <c r="H187" s="280">
        <f t="shared" si="17"/>
        <v>0</v>
      </c>
      <c r="I187" s="120">
        <f t="shared" si="18"/>
        <v>220861</v>
      </c>
      <c r="J187" s="281"/>
      <c r="K187" s="281"/>
      <c r="L187" s="281"/>
      <c r="M187" s="281"/>
      <c r="N187" s="109" t="s">
        <v>9</v>
      </c>
      <c r="O187" s="81">
        <f>O175/$O$182</f>
        <v>0.048010933592852995</v>
      </c>
      <c r="P187" s="81">
        <f t="shared" si="19"/>
        <v>0.06929968605699048</v>
      </c>
      <c r="Q187" s="285"/>
      <c r="R187" s="24" t="s">
        <v>109</v>
      </c>
      <c r="S187" s="25" t="e">
        <f>SUMIF(#REF!,#REF!,J$10:J$139)</f>
        <v>#REF!</v>
      </c>
      <c r="T187" s="4" t="e">
        <f>SUMIF(#REF!,#REF!,N$10:N$139)</f>
        <v>#REF!</v>
      </c>
      <c r="U187" s="7" t="e">
        <f>COUNTIF(#REF!,"S.C. Metrorex S.A.")</f>
        <v>#REF!</v>
      </c>
    </row>
    <row r="188" spans="1:21" s="2" customFormat="1" ht="15" customHeight="1" hidden="1" thickBot="1">
      <c r="A188" s="32"/>
      <c r="B188" s="66" t="s">
        <v>290</v>
      </c>
      <c r="C188" s="67">
        <f>_xlfn.SUMIFS($J$10:$J$139,$C$10:$C$139,"MLPDA",$H$10:$H$139,"0,00%")</f>
        <v>0</v>
      </c>
      <c r="D188" s="67"/>
      <c r="E188" s="117">
        <f>_xlfn.SUMIFS($J$29:$J$139,$C$29:$C$139,"MLPDA",$H$29:$H$139,"100,00%")</f>
        <v>0</v>
      </c>
      <c r="F188" s="131">
        <f t="shared" si="15"/>
        <v>0</v>
      </c>
      <c r="G188" s="115">
        <f t="shared" si="16"/>
        <v>1627795</v>
      </c>
      <c r="H188" s="280">
        <f t="shared" si="17"/>
        <v>0</v>
      </c>
      <c r="I188" s="120">
        <f t="shared" si="18"/>
        <v>1627795</v>
      </c>
      <c r="J188" s="281"/>
      <c r="K188" s="281"/>
      <c r="L188" s="281"/>
      <c r="M188" s="281"/>
      <c r="N188" s="109" t="s">
        <v>28</v>
      </c>
      <c r="O188" s="81">
        <f>O176/$O$182</f>
        <v>0.0057620141706419435</v>
      </c>
      <c r="P188" s="81">
        <f t="shared" si="19"/>
        <v>0.007504228770195645</v>
      </c>
      <c r="Q188" s="285"/>
      <c r="R188" s="24" t="s">
        <v>110</v>
      </c>
      <c r="S188" s="25">
        <f>'[1]Anexa 3 iulie 2018'!$I$11</f>
        <v>15812492</v>
      </c>
      <c r="T188" s="4">
        <f>'[1]Anexa 3 iulie 2018'!$M$11</f>
        <v>10083369</v>
      </c>
      <c r="U188" s="7"/>
    </row>
    <row r="189" spans="1:21" s="2" customFormat="1" ht="15" customHeight="1" hidden="1" thickBot="1">
      <c r="A189" s="32"/>
      <c r="B189" s="70" t="s">
        <v>239</v>
      </c>
      <c r="C189" s="67">
        <f>_xlfn.SUMIFS($J$10:$J$139,$C$10:$C$139,"MMAP",$H$10:$H$139,"0,00%")</f>
        <v>437321</v>
      </c>
      <c r="D189" s="67"/>
      <c r="E189" s="117">
        <f>_xlfn.SUMIFS($J$29:$J$139,$C$29:$C$139,"MMAP",$H$29:$H$139,"100,00%")</f>
        <v>0</v>
      </c>
      <c r="F189" s="131">
        <f t="shared" si="15"/>
        <v>437321</v>
      </c>
      <c r="G189" s="115">
        <f t="shared" si="16"/>
        <v>6375855</v>
      </c>
      <c r="H189" s="280">
        <f t="shared" si="17"/>
        <v>0</v>
      </c>
      <c r="I189" s="120">
        <f t="shared" si="18"/>
        <v>5938534</v>
      </c>
      <c r="J189" s="281"/>
      <c r="K189" s="281"/>
      <c r="L189" s="281"/>
      <c r="M189" s="281"/>
      <c r="N189" s="109" t="s">
        <v>290</v>
      </c>
      <c r="O189" s="81">
        <f>O177/$O$182</f>
        <v>0.008601288130077071</v>
      </c>
      <c r="P189" s="81">
        <f t="shared" si="19"/>
        <v>0.010327064957271717</v>
      </c>
      <c r="Q189" s="285"/>
      <c r="R189" s="24" t="s">
        <v>79</v>
      </c>
      <c r="S189" s="25" t="e">
        <f>S187-S188</f>
        <v>#REF!</v>
      </c>
      <c r="T189" s="25" t="e">
        <f>T187-T188</f>
        <v>#REF!</v>
      </c>
      <c r="U189" s="7"/>
    </row>
    <row r="190" spans="1:21" s="2" customFormat="1" ht="15" customHeight="1" hidden="1" thickBot="1">
      <c r="A190" s="32"/>
      <c r="B190" s="66" t="s">
        <v>296</v>
      </c>
      <c r="C190" s="67">
        <f>_xlfn.SUMIFS($J$10:$J$139,$C$10:$C$139,"MEEMA",$H$10:$H$139,"0,00%")</f>
        <v>0</v>
      </c>
      <c r="D190" s="67"/>
      <c r="E190" s="117">
        <f>_xlfn.SUMIFS($J$29:$J$139,$C$29:$C$139,"MEEMA",$H$29:$H$139,"100,00%")</f>
        <v>0</v>
      </c>
      <c r="F190" s="131">
        <f t="shared" si="15"/>
        <v>0</v>
      </c>
      <c r="G190" s="115">
        <f t="shared" si="16"/>
        <v>2073960</v>
      </c>
      <c r="H190" s="280">
        <f t="shared" si="17"/>
        <v>0</v>
      </c>
      <c r="I190" s="120">
        <f t="shared" si="18"/>
        <v>2073960</v>
      </c>
      <c r="J190" s="281"/>
      <c r="K190" s="281"/>
      <c r="L190" s="281"/>
      <c r="M190" s="281"/>
      <c r="N190" s="110" t="s">
        <v>239</v>
      </c>
      <c r="O190" s="81">
        <f>O178/$O$182</f>
        <v>0.033690093611660275</v>
      </c>
      <c r="P190" s="81">
        <f t="shared" si="19"/>
        <v>0.03875267623346494</v>
      </c>
      <c r="Q190" s="285"/>
      <c r="R190" s="24"/>
      <c r="S190" s="7"/>
      <c r="T190" s="4"/>
      <c r="U190" s="7"/>
    </row>
    <row r="191" spans="1:21" s="2" customFormat="1" ht="15" customHeight="1" hidden="1" thickBot="1">
      <c r="A191" s="32"/>
      <c r="B191" s="134" t="s">
        <v>264</v>
      </c>
      <c r="C191" s="67">
        <f>_xlfn.SUMIFS($J$10:$J$139,$C$10:$C$139,"MEC",$H$10:$H$139,"0,00%")</f>
        <v>0</v>
      </c>
      <c r="D191" s="135"/>
      <c r="E191" s="117">
        <f>_xlfn.SUMIFS($J$29:$J$139,$C$29:$C$139,"MEC",$H$29:$H$139,"100,00%")</f>
        <v>0</v>
      </c>
      <c r="F191" s="131">
        <f t="shared" si="15"/>
        <v>0</v>
      </c>
      <c r="G191" s="115">
        <f t="shared" si="16"/>
        <v>237420</v>
      </c>
      <c r="H191" s="280">
        <f t="shared" si="17"/>
        <v>0</v>
      </c>
      <c r="I191" s="120">
        <f t="shared" si="18"/>
        <v>237420</v>
      </c>
      <c r="J191" s="281"/>
      <c r="K191" s="281"/>
      <c r="L191" s="281"/>
      <c r="M191" s="281"/>
      <c r="N191" s="109" t="s">
        <v>264</v>
      </c>
      <c r="O191" s="81">
        <f>O180/$O$182</f>
        <v>0.0012545301022812442</v>
      </c>
      <c r="P191" s="81">
        <f t="shared" si="19"/>
        <v>0.0007516131551797693</v>
      </c>
      <c r="Q191" s="285"/>
      <c r="R191" s="17"/>
      <c r="S191" s="4"/>
      <c r="T191" s="4"/>
      <c r="U191" s="7"/>
    </row>
    <row r="192" spans="1:24" s="2" customFormat="1" ht="15" customHeight="1" hidden="1" thickBot="1">
      <c r="A192" s="32"/>
      <c r="B192" s="82" t="s">
        <v>78</v>
      </c>
      <c r="C192" s="83">
        <f>_xlfn.SUMIFS($J$10:$J$139,$C$10:$C$139,"MApN",$H$10:$H$139,"0,00%")</f>
        <v>245965</v>
      </c>
      <c r="D192" s="83"/>
      <c r="E192" s="118">
        <f>_xlfn.SUMIFS($J$29:$J$139,$C$29:$C$139,"MApN",$H$29:$H$139,"100,00%")</f>
        <v>0</v>
      </c>
      <c r="F192" s="131">
        <f t="shared" si="15"/>
        <v>245965</v>
      </c>
      <c r="G192" s="115">
        <f t="shared" si="16"/>
        <v>390493</v>
      </c>
      <c r="H192" s="280">
        <f>G192-F192-I192</f>
        <v>0</v>
      </c>
      <c r="I192" s="120">
        <f>G192-F192</f>
        <v>144528</v>
      </c>
      <c r="J192" s="281"/>
      <c r="K192" s="281"/>
      <c r="L192" s="281"/>
      <c r="M192" s="281"/>
      <c r="N192" s="109" t="s">
        <v>415</v>
      </c>
      <c r="O192" s="81">
        <f>O179/$O$182</f>
        <v>0.010958829293771415</v>
      </c>
      <c r="P192" s="81">
        <f t="shared" si="19"/>
        <v>0.001048402564833934</v>
      </c>
      <c r="Q192" s="285"/>
      <c r="R192" s="24" t="s">
        <v>114</v>
      </c>
      <c r="S192" s="4" t="e">
        <f>SUMIF(#REF!,#REF!,J$10:J$139)</f>
        <v>#REF!</v>
      </c>
      <c r="T192" s="4" t="e">
        <f>SUMIF(#REF!,#REF!,N$10:N$139)</f>
        <v>#REF!</v>
      </c>
      <c r="U192" s="7" t="e">
        <f>COUNTIF(#REF!,"CNAIR S.A.")</f>
        <v>#REF!</v>
      </c>
      <c r="V192" s="26" t="e">
        <f>SUMIF(#REF!,#REF!,G$10:G$139)</f>
        <v>#REF!</v>
      </c>
      <c r="W192" s="26" t="e">
        <f>SUMIF(#REF!,#REF!,H$10:H$139)</f>
        <v>#REF!</v>
      </c>
      <c r="X192" s="26" t="e">
        <f>SUMIF(#REF!,#REF!,I$10:I$139)</f>
        <v>#REF!</v>
      </c>
    </row>
    <row r="193" spans="1:24" s="2" customFormat="1" ht="15" customHeight="1" hidden="1" thickBot="1">
      <c r="A193" s="32"/>
      <c r="B193" s="84">
        <f>J140</f>
        <v>189250142</v>
      </c>
      <c r="C193" s="83">
        <f>SUM(C185:C192)</f>
        <v>10488739</v>
      </c>
      <c r="D193" s="85"/>
      <c r="E193" s="119">
        <f>SUM(E185:E192)</f>
        <v>0</v>
      </c>
      <c r="F193" s="125">
        <f>SUM(F185:F192)</f>
        <v>10488739</v>
      </c>
      <c r="G193" s="80">
        <f>SUM(G185:G192)</f>
        <v>189250142</v>
      </c>
      <c r="H193" s="49"/>
      <c r="I193" s="121">
        <f>SUM(I185:I192)</f>
        <v>178761403</v>
      </c>
      <c r="J193" s="281"/>
      <c r="K193" s="281"/>
      <c r="L193" s="281"/>
      <c r="M193" s="281"/>
      <c r="N193" s="111" t="s">
        <v>78</v>
      </c>
      <c r="O193" s="81">
        <f>O181/$O$182</f>
        <v>0.002063369653904936</v>
      </c>
      <c r="P193" s="81">
        <f t="shared" si="19"/>
        <v>0.002070272972105874</v>
      </c>
      <c r="Q193" s="285"/>
      <c r="R193" s="24" t="s">
        <v>110</v>
      </c>
      <c r="S193" s="4">
        <f>'[2]Anexa nr 3'!$I$100</f>
        <v>108444423.36452997</v>
      </c>
      <c r="T193" s="4">
        <f>'[2]Anexa nr 3'!$M$100</f>
        <v>65459951.74453</v>
      </c>
      <c r="U193" s="7"/>
      <c r="V193" s="26">
        <f>'[3]anexa 2 PUNCTAJ'!$F$192</f>
        <v>6980.5</v>
      </c>
      <c r="W193" s="26">
        <f>'[2]Anexa nr 3'!$F$100*100</f>
        <v>5702.580000000001</v>
      </c>
      <c r="X193" s="26">
        <f>'[2]Anexa nr 3'!$G$100*100</f>
        <v>4994.530178887644</v>
      </c>
    </row>
    <row r="194" spans="1:24" s="2" customFormat="1" ht="15" customHeight="1" hidden="1">
      <c r="A194" s="32"/>
      <c r="B194" s="186"/>
      <c r="C194" s="87" t="s">
        <v>246</v>
      </c>
      <c r="D194" s="47"/>
      <c r="E194" s="49">
        <f>I193</f>
        <v>178761403</v>
      </c>
      <c r="F194" s="119">
        <f>F193-E193-C193</f>
        <v>0</v>
      </c>
      <c r="G194" s="85"/>
      <c r="H194" s="49"/>
      <c r="I194" s="45"/>
      <c r="J194" s="281"/>
      <c r="K194" s="281"/>
      <c r="L194" s="281"/>
      <c r="M194" s="281"/>
      <c r="N194" s="33"/>
      <c r="O194" s="88">
        <f>SUM(O186:O193)</f>
        <v>1.0000000000000002</v>
      </c>
      <c r="P194" s="88">
        <f>SUM(P186:P193)</f>
        <v>0.9999999999999999</v>
      </c>
      <c r="Q194" s="285"/>
      <c r="R194" s="24" t="s">
        <v>79</v>
      </c>
      <c r="S194" s="4" t="e">
        <f>S192-S193</f>
        <v>#REF!</v>
      </c>
      <c r="T194" s="4" t="e">
        <f>T192-T193</f>
        <v>#REF!</v>
      </c>
      <c r="U194" s="7"/>
      <c r="V194" s="26" t="e">
        <f>V192-V193</f>
        <v>#REF!</v>
      </c>
      <c r="W194" s="26" t="e">
        <f>W192-W193</f>
        <v>#REF!</v>
      </c>
      <c r="X194" s="26" t="e">
        <f>X192-X193</f>
        <v>#REF!</v>
      </c>
    </row>
    <row r="195" spans="1:22" s="2" customFormat="1" ht="15" customHeight="1" hidden="1" thickBot="1">
      <c r="A195" s="32"/>
      <c r="B195" s="186"/>
      <c r="C195" s="32"/>
      <c r="D195" s="32"/>
      <c r="E195" s="45"/>
      <c r="F195" s="1"/>
      <c r="G195" s="92"/>
      <c r="H195" s="45"/>
      <c r="I195" s="49"/>
      <c r="J195" s="281"/>
      <c r="K195" s="281"/>
      <c r="L195" s="281"/>
      <c r="M195" s="281"/>
      <c r="N195" s="33"/>
      <c r="O195" s="88" t="s">
        <v>82</v>
      </c>
      <c r="P195" s="88" t="s">
        <v>82</v>
      </c>
      <c r="Q195" s="285"/>
      <c r="R195" s="24"/>
      <c r="S195" s="4"/>
      <c r="T195" s="4"/>
      <c r="U195" s="7" t="s">
        <v>121</v>
      </c>
      <c r="V195" s="27"/>
    </row>
    <row r="196" spans="1:21" s="2" customFormat="1" ht="15" customHeight="1" hidden="1" thickBot="1">
      <c r="A196" s="32"/>
      <c r="B196" s="89" t="s">
        <v>84</v>
      </c>
      <c r="C196" s="90">
        <v>0</v>
      </c>
      <c r="D196" s="90"/>
      <c r="E196" s="90">
        <v>100</v>
      </c>
      <c r="F196" s="132" t="s">
        <v>247</v>
      </c>
      <c r="G196" s="92" t="s">
        <v>86</v>
      </c>
      <c r="H196" s="45" t="s">
        <v>69</v>
      </c>
      <c r="I196" s="122" t="s">
        <v>244</v>
      </c>
      <c r="J196" s="33"/>
      <c r="K196" s="33"/>
      <c r="L196" s="33"/>
      <c r="M196" s="33"/>
      <c r="N196" s="48"/>
      <c r="O196" s="47"/>
      <c r="P196" s="47"/>
      <c r="Q196" s="285"/>
      <c r="R196" s="17" t="s">
        <v>116</v>
      </c>
      <c r="S196" s="5" t="e">
        <f>S197+S202</f>
        <v>#REF!</v>
      </c>
      <c r="T196" s="5" t="e">
        <f>T197+T202</f>
        <v>#REF!</v>
      </c>
      <c r="U196" s="7" t="e">
        <f>COUNTIF(#REF!,"CN Administraţia Porturilor Maritime SA Constanţa")</f>
        <v>#REF!</v>
      </c>
    </row>
    <row r="197" spans="1:21" s="2" customFormat="1" ht="15" customHeight="1" hidden="1" thickBot="1">
      <c r="A197" s="32"/>
      <c r="B197" s="112" t="s">
        <v>289</v>
      </c>
      <c r="C197" s="67">
        <f>_xlfn.SUMIFS($N$10:$N$139,$C$10:$C$139,"MTIC",$H$10:$H$139,"0,00%")</f>
        <v>0</v>
      </c>
      <c r="D197" s="67"/>
      <c r="E197" s="124">
        <f>_xlfn.SUMIFS($N$10:$N$139,$C$10:$C$139,"MTIC",$H$10:$H$139,"100,00%")</f>
        <v>0</v>
      </c>
      <c r="F197" s="124">
        <f>C197+E197</f>
        <v>0</v>
      </c>
      <c r="G197" s="80">
        <f aca="true" t="shared" si="20" ref="G197:G202">P174</f>
        <v>112666872</v>
      </c>
      <c r="H197" s="280">
        <f>G197-F197-I197</f>
        <v>0</v>
      </c>
      <c r="I197" s="120">
        <f>G197-F197</f>
        <v>112666872</v>
      </c>
      <c r="J197" s="33"/>
      <c r="K197" s="33"/>
      <c r="L197" s="33"/>
      <c r="M197" s="33"/>
      <c r="N197" s="48"/>
      <c r="O197" s="47"/>
      <c r="P197" s="47"/>
      <c r="Q197" s="285"/>
      <c r="R197" s="24" t="s">
        <v>114</v>
      </c>
      <c r="S197" s="4" t="e">
        <f>SUMIF(#REF!,#REF!,J$10:J$139)</f>
        <v>#REF!</v>
      </c>
      <c r="T197" s="16" t="e">
        <f>SUMIF(#REF!,#REF!,N$10:N$139)</f>
        <v>#REF!</v>
      </c>
      <c r="U197" s="7"/>
    </row>
    <row r="198" spans="1:21" s="2" customFormat="1" ht="15" customHeight="1" hidden="1" thickBot="1">
      <c r="A198" s="32"/>
      <c r="B198" s="112" t="s">
        <v>9</v>
      </c>
      <c r="C198" s="67">
        <f>_xlfn.SUMIFS($N$10:$N$139,$C$10:$C$139,"MS",$H$10:$H$139,"0,00%")</f>
        <v>8896785</v>
      </c>
      <c r="D198" s="67"/>
      <c r="E198" s="124">
        <f>_xlfn.SUMIFS($N$10:$N$139,$C$10:$C$139,"MS",$H$10:$H$139,"100,00%")</f>
        <v>0</v>
      </c>
      <c r="F198" s="124">
        <f aca="true" t="shared" si="21" ref="F198:F204">C198+E198</f>
        <v>8896785</v>
      </c>
      <c r="G198" s="80">
        <f t="shared" si="20"/>
        <v>8971921</v>
      </c>
      <c r="H198" s="280">
        <f aca="true" t="shared" si="22" ref="H198:H205">G198-F198-I198</f>
        <v>0</v>
      </c>
      <c r="I198" s="120">
        <f aca="true" t="shared" si="23" ref="I198:I204">G198-F198</f>
        <v>75136</v>
      </c>
      <c r="J198" s="33"/>
      <c r="K198" s="33"/>
      <c r="L198" s="33"/>
      <c r="M198" s="33"/>
      <c r="N198" s="33"/>
      <c r="O198" s="47"/>
      <c r="P198" s="47"/>
      <c r="Q198" s="285"/>
      <c r="R198" s="24" t="s">
        <v>110</v>
      </c>
      <c r="S198" s="4"/>
      <c r="T198" s="16"/>
      <c r="U198" s="7"/>
    </row>
    <row r="199" spans="1:21" s="2" customFormat="1" ht="15" customHeight="1" hidden="1" thickBot="1">
      <c r="A199" s="91"/>
      <c r="B199" s="112" t="s">
        <v>28</v>
      </c>
      <c r="C199" s="67">
        <f>_xlfn.SUMIFS($N$10:$N$139,$C$10:$C$139,"MJ",$H$10:$H$139,"0,00%")</f>
        <v>848061</v>
      </c>
      <c r="D199" s="67"/>
      <c r="E199" s="124">
        <f>_xlfn.SUMIFS($N$10:$N$139,$C$10:$C$139,"MJ",$H$10:$H$139,"100,00%")</f>
        <v>0</v>
      </c>
      <c r="F199" s="124">
        <f t="shared" si="21"/>
        <v>848061</v>
      </c>
      <c r="G199" s="80">
        <f t="shared" si="20"/>
        <v>971539</v>
      </c>
      <c r="H199" s="280">
        <f t="shared" si="22"/>
        <v>0</v>
      </c>
      <c r="I199" s="120">
        <f t="shared" si="23"/>
        <v>123478</v>
      </c>
      <c r="J199" s="33"/>
      <c r="K199" s="33"/>
      <c r="L199" s="33"/>
      <c r="M199" s="33"/>
      <c r="N199" s="48"/>
      <c r="O199" s="47"/>
      <c r="P199" s="47"/>
      <c r="Q199" s="285"/>
      <c r="R199" s="24" t="s">
        <v>79</v>
      </c>
      <c r="S199" s="4" t="e">
        <f>S197-S198</f>
        <v>#REF!</v>
      </c>
      <c r="T199" s="4" t="e">
        <f>T197-T198</f>
        <v>#REF!</v>
      </c>
      <c r="U199" s="7"/>
    </row>
    <row r="200" spans="1:21" s="2" customFormat="1" ht="15" customHeight="1" hidden="1" thickBot="1">
      <c r="A200" s="33"/>
      <c r="B200" s="112" t="s">
        <v>226</v>
      </c>
      <c r="C200" s="67">
        <f>_xlfn.SUMIFS($N$10:$N$139,$C$10:$C$139,"MLPDA",$H$10:$H$139,"0,00%")</f>
        <v>0</v>
      </c>
      <c r="D200" s="67"/>
      <c r="E200" s="124">
        <f>_xlfn.SUMIFS($N$10:$N$139,$C$10:$C$139,"MLPDA",$H$10:$H$139,"100,00%")</f>
        <v>0</v>
      </c>
      <c r="F200" s="124">
        <f t="shared" si="21"/>
        <v>0</v>
      </c>
      <c r="G200" s="80">
        <f t="shared" si="20"/>
        <v>1336999</v>
      </c>
      <c r="H200" s="280">
        <f t="shared" si="22"/>
        <v>0</v>
      </c>
      <c r="I200" s="120">
        <f t="shared" si="23"/>
        <v>1336999</v>
      </c>
      <c r="J200" s="33"/>
      <c r="K200" s="33"/>
      <c r="L200" s="33"/>
      <c r="M200" s="33"/>
      <c r="N200" s="33"/>
      <c r="O200" s="32"/>
      <c r="P200" s="32"/>
      <c r="Q200" s="285"/>
      <c r="R200" s="14"/>
      <c r="S200" s="4" t="e">
        <f>S196+S215</f>
        <v>#REF!</v>
      </c>
      <c r="T200" s="4" t="e">
        <f>T196+T215</f>
        <v>#REF!</v>
      </c>
      <c r="U200" s="7"/>
    </row>
    <row r="201" spans="1:21" s="2" customFormat="1" ht="15" customHeight="1" hidden="1" thickBot="1">
      <c r="A201" s="33"/>
      <c r="B201" s="113" t="s">
        <v>239</v>
      </c>
      <c r="C201" s="67">
        <f>_xlfn.SUMIFS($N$10:$N$139,$C$10:$C$139,"MMAP",$H$10:$H$139,"0,00%")</f>
        <v>434588</v>
      </c>
      <c r="D201" s="67"/>
      <c r="E201" s="124">
        <f>_xlfn.SUMIFS($N$10:$N$139,$C$10:$C$139,"MMAP",$H$10:$H$139,"100,00%")</f>
        <v>0</v>
      </c>
      <c r="F201" s="124">
        <f>C201+E201</f>
        <v>434588</v>
      </c>
      <c r="G201" s="80">
        <f t="shared" si="20"/>
        <v>5017136</v>
      </c>
      <c r="H201" s="280">
        <f t="shared" si="22"/>
        <v>0</v>
      </c>
      <c r="I201" s="120">
        <f>G201-F201</f>
        <v>4582548</v>
      </c>
      <c r="J201" s="48"/>
      <c r="K201" s="48"/>
      <c r="L201" s="48"/>
      <c r="M201" s="48"/>
      <c r="N201" s="48"/>
      <c r="O201" s="47"/>
      <c r="P201" s="47"/>
      <c r="Q201" s="285"/>
      <c r="R201" s="15" t="s">
        <v>117</v>
      </c>
      <c r="S201" s="4"/>
      <c r="T201" s="16"/>
      <c r="U201" s="7" t="e">
        <f>COUNTIF(#REF!,"AFDJ RA Galati")</f>
        <v>#REF!</v>
      </c>
    </row>
    <row r="202" spans="1:21" s="2" customFormat="1" ht="15" customHeight="1" hidden="1" thickBot="1">
      <c r="A202" s="33"/>
      <c r="B202" s="112" t="s">
        <v>237</v>
      </c>
      <c r="C202" s="67">
        <f>_xlfn.SUMIFS($N$10:$N$139,$C$10:$C$139,"MEEMA",$H$10:$H$139,"0,00%")</f>
        <v>0</v>
      </c>
      <c r="D202" s="67"/>
      <c r="E202" s="124">
        <f>_xlfn.SUMIFS($N$10:$N$139,$C$10:$C$139,"MEEMA",$H$10:$H$139,"100,00%")</f>
        <v>0</v>
      </c>
      <c r="F202" s="124">
        <f t="shared" si="21"/>
        <v>0</v>
      </c>
      <c r="G202" s="80">
        <f t="shared" si="20"/>
        <v>97308</v>
      </c>
      <c r="H202" s="280">
        <f t="shared" si="22"/>
        <v>0</v>
      </c>
      <c r="I202" s="120">
        <f t="shared" si="23"/>
        <v>97308</v>
      </c>
      <c r="J202" s="33"/>
      <c r="K202" s="33"/>
      <c r="L202" s="33"/>
      <c r="M202" s="33"/>
      <c r="N202" s="48"/>
      <c r="O202" s="47"/>
      <c r="P202" s="47"/>
      <c r="Q202" s="285"/>
      <c r="R202" s="24" t="s">
        <v>114</v>
      </c>
      <c r="S202" s="4" t="e">
        <f>SUMIF(#REF!,#REF!,J$10:J$139)</f>
        <v>#REF!</v>
      </c>
      <c r="T202" s="16" t="e">
        <f>SUMIF(#REF!,#REF!,N$10:N$139)</f>
        <v>#REF!</v>
      </c>
      <c r="U202" s="7"/>
    </row>
    <row r="203" spans="1:21" s="2" customFormat="1" ht="15" customHeight="1" hidden="1" thickBot="1">
      <c r="A203" s="33"/>
      <c r="B203" s="112" t="s">
        <v>238</v>
      </c>
      <c r="C203" s="67">
        <f>_xlfn.SUMIFS($N$10:$N$139,$C$10:$C$139,"MECC",$H$10:$H$139,"0,00%")</f>
        <v>0</v>
      </c>
      <c r="D203" s="67"/>
      <c r="E203" s="124">
        <f>_xlfn.SUMIFS($N$10:$N$139,$C$10:$C$139,"MEC",$H$10:$H$139,"100,00%")</f>
        <v>0</v>
      </c>
      <c r="F203" s="124">
        <f t="shared" si="21"/>
        <v>0</v>
      </c>
      <c r="G203" s="80">
        <f>P179</f>
        <v>97308</v>
      </c>
      <c r="H203" s="280">
        <f t="shared" si="22"/>
        <v>0</v>
      </c>
      <c r="I203" s="120">
        <f t="shared" si="23"/>
        <v>97308</v>
      </c>
      <c r="J203" s="33"/>
      <c r="K203" s="33"/>
      <c r="L203" s="33"/>
      <c r="M203" s="33"/>
      <c r="N203" s="48"/>
      <c r="O203" s="47"/>
      <c r="P203" s="47"/>
      <c r="Q203" s="285"/>
      <c r="R203" s="24" t="s">
        <v>110</v>
      </c>
      <c r="S203" s="4"/>
      <c r="T203" s="16"/>
      <c r="U203" s="7"/>
    </row>
    <row r="204" spans="1:21" s="2" customFormat="1" ht="15" customHeight="1" hidden="1" thickBot="1">
      <c r="A204" s="33"/>
      <c r="B204" s="112" t="s">
        <v>264</v>
      </c>
      <c r="C204" s="67">
        <f>_xlfn.SUMIFS($N$10:$N$139,$C$10:$C$139,"MECC",$H$10:$H$139,"0,00%")</f>
        <v>0</v>
      </c>
      <c r="D204" s="67"/>
      <c r="E204" s="124">
        <f>_xlfn.SUMIFS($N$10:$N$139,$C$10:$C$139,"MEC",$H$10:$H$139,"100,00%")</f>
        <v>0</v>
      </c>
      <c r="F204" s="124">
        <f t="shared" si="21"/>
        <v>0</v>
      </c>
      <c r="G204" s="80">
        <f>P180</f>
        <v>135732</v>
      </c>
      <c r="H204" s="280">
        <f t="shared" si="22"/>
        <v>0</v>
      </c>
      <c r="I204" s="120">
        <f t="shared" si="23"/>
        <v>135732</v>
      </c>
      <c r="J204" s="33"/>
      <c r="K204" s="33"/>
      <c r="L204" s="33"/>
      <c r="M204" s="33"/>
      <c r="N204" s="48"/>
      <c r="O204" s="47"/>
      <c r="P204" s="47"/>
      <c r="Q204" s="285"/>
      <c r="R204" s="24"/>
      <c r="S204" s="4"/>
      <c r="T204" s="16"/>
      <c r="U204" s="7"/>
    </row>
    <row r="205" spans="1:21" s="2" customFormat="1" ht="15" customHeight="1" hidden="1" thickBot="1">
      <c r="A205" s="33"/>
      <c r="B205" s="112" t="s">
        <v>78</v>
      </c>
      <c r="C205" s="67">
        <f>_xlfn.SUMIFS($N$10:$N$139,$C$10:$C$139,"MApN",$H$10:$H$139,"0,00%")</f>
        <v>240238</v>
      </c>
      <c r="D205" s="67"/>
      <c r="E205" s="124">
        <f>_xlfn.SUMIFS($N$10:$N$139,$C$10:$C$139,"MApN",$H$10:$H$139,"100,00%")</f>
        <v>0</v>
      </c>
      <c r="F205" s="124">
        <f>C205+E205</f>
        <v>240238</v>
      </c>
      <c r="G205" s="80">
        <f>P181</f>
        <v>268029</v>
      </c>
      <c r="H205" s="280">
        <f t="shared" si="22"/>
        <v>0</v>
      </c>
      <c r="I205" s="120">
        <f>G205-F205</f>
        <v>27791</v>
      </c>
      <c r="J205" s="48"/>
      <c r="K205" s="48"/>
      <c r="L205" s="48"/>
      <c r="M205" s="48"/>
      <c r="N205" s="48"/>
      <c r="O205" s="47"/>
      <c r="P205" s="47"/>
      <c r="Q205" s="285"/>
      <c r="R205" s="24" t="s">
        <v>79</v>
      </c>
      <c r="S205" s="4" t="e">
        <f>S202-S203</f>
        <v>#REF!</v>
      </c>
      <c r="T205" s="4" t="e">
        <f>T202-T203</f>
        <v>#REF!</v>
      </c>
      <c r="U205" s="7"/>
    </row>
    <row r="206" spans="1:21" s="2" customFormat="1" ht="15" customHeight="1" hidden="1" thickBot="1">
      <c r="A206" s="33"/>
      <c r="B206" s="93">
        <f>C206+E206</f>
        <v>10419672</v>
      </c>
      <c r="C206" s="67">
        <f>SUM(C197:C205)</f>
        <v>10419672</v>
      </c>
      <c r="D206" s="86"/>
      <c r="E206" s="125">
        <f>SUM(E197:E205)</f>
        <v>0</v>
      </c>
      <c r="F206" s="125">
        <f>SUM(F197:F205)</f>
        <v>10419672</v>
      </c>
      <c r="G206" s="80">
        <f>SUM(G197:G205)</f>
        <v>129562844</v>
      </c>
      <c r="H206" s="49"/>
      <c r="I206" s="123">
        <f>SUM(I197:I205)</f>
        <v>119143172</v>
      </c>
      <c r="J206" s="48"/>
      <c r="K206" s="48"/>
      <c r="L206" s="48"/>
      <c r="M206" s="48"/>
      <c r="N206" s="48"/>
      <c r="O206" s="47"/>
      <c r="P206" s="47"/>
      <c r="Q206" s="285"/>
      <c r="R206" s="14" t="s">
        <v>124</v>
      </c>
      <c r="S206" s="5" t="e">
        <f>S197+S202</f>
        <v>#REF!</v>
      </c>
      <c r="T206" s="5" t="e">
        <f>T197+T202</f>
        <v>#REF!</v>
      </c>
      <c r="U206" s="7"/>
    </row>
    <row r="207" spans="1:21" s="2" customFormat="1" ht="15" customHeight="1" hidden="1">
      <c r="A207" s="48"/>
      <c r="B207" s="186"/>
      <c r="C207" s="87" t="s">
        <v>83</v>
      </c>
      <c r="D207" s="47"/>
      <c r="E207" s="46">
        <f>I206</f>
        <v>119143172</v>
      </c>
      <c r="F207" s="90"/>
      <c r="G207" s="92"/>
      <c r="H207" s="45"/>
      <c r="I207" s="45">
        <f>I206+E206</f>
        <v>119143172</v>
      </c>
      <c r="J207" s="48"/>
      <c r="K207" s="48"/>
      <c r="L207" s="48"/>
      <c r="M207" s="48"/>
      <c r="N207" s="48"/>
      <c r="O207" s="47"/>
      <c r="P207" s="47"/>
      <c r="Q207" s="285"/>
      <c r="R207" s="15" t="s">
        <v>118</v>
      </c>
      <c r="S207" s="4"/>
      <c r="T207" s="16"/>
      <c r="U207" s="7" t="e">
        <f>COUNTIF(#REF!,"CNCF CFR-SA")</f>
        <v>#REF!</v>
      </c>
    </row>
    <row r="208" spans="1:21" s="2" customFormat="1" ht="15" customHeight="1" hidden="1">
      <c r="A208" s="33"/>
      <c r="B208" s="186"/>
      <c r="C208" s="32"/>
      <c r="D208" s="32"/>
      <c r="E208" s="33"/>
      <c r="F208" s="33"/>
      <c r="G208" s="92"/>
      <c r="H208" s="45"/>
      <c r="I208" s="45"/>
      <c r="J208" s="48"/>
      <c r="K208" s="48"/>
      <c r="L208" s="48"/>
      <c r="M208" s="48"/>
      <c r="N208" s="48"/>
      <c r="O208" s="47"/>
      <c r="P208" s="47"/>
      <c r="Q208" s="285"/>
      <c r="R208" s="24" t="s">
        <v>114</v>
      </c>
      <c r="S208" s="4" t="e">
        <f>SUMIF(#REF!,#REF!,J$10:J$139)</f>
        <v>#REF!</v>
      </c>
      <c r="T208" s="16" t="e">
        <f>SUMIF(#REF!,#REF!,N$10:N$139)</f>
        <v>#REF!</v>
      </c>
      <c r="U208" s="7"/>
    </row>
    <row r="209" spans="1:21" s="2" customFormat="1" ht="15" customHeight="1" hidden="1">
      <c r="A209" s="33"/>
      <c r="B209" s="186"/>
      <c r="C209" s="32"/>
      <c r="D209" s="32"/>
      <c r="E209" s="33"/>
      <c r="F209" s="33"/>
      <c r="G209" s="92"/>
      <c r="H209" s="45"/>
      <c r="I209" s="45"/>
      <c r="J209" s="33"/>
      <c r="K209" s="33"/>
      <c r="L209" s="33"/>
      <c r="M209" s="33"/>
      <c r="N209" s="33"/>
      <c r="O209" s="32"/>
      <c r="P209" s="32"/>
      <c r="Q209" s="285"/>
      <c r="R209" s="24" t="s">
        <v>110</v>
      </c>
      <c r="S209" s="4">
        <f>'[4]Anexa 3 - 05.09.2018'!$I$21</f>
        <v>37207406</v>
      </c>
      <c r="T209" s="16">
        <f>'[4]Anexa 3 - 05.09.2018'!$M$21</f>
        <v>22054299.83</v>
      </c>
      <c r="U209" s="7"/>
    </row>
    <row r="210" spans="1:21" s="2" customFormat="1" ht="15" customHeight="1" hidden="1" thickBot="1">
      <c r="A210" s="33"/>
      <c r="B210" s="186"/>
      <c r="C210" s="94" t="s">
        <v>94</v>
      </c>
      <c r="D210" s="94"/>
      <c r="E210" s="90"/>
      <c r="F210" s="90"/>
      <c r="G210" s="92"/>
      <c r="H210" s="45"/>
      <c r="I210" s="45"/>
      <c r="J210" s="33"/>
      <c r="K210" s="33"/>
      <c r="L210" s="33"/>
      <c r="M210" s="33"/>
      <c r="N210" s="33"/>
      <c r="O210" s="32"/>
      <c r="P210" s="32"/>
      <c r="Q210" s="285"/>
      <c r="R210" s="24" t="s">
        <v>79</v>
      </c>
      <c r="S210" s="4" t="e">
        <f>S208-S209</f>
        <v>#REF!</v>
      </c>
      <c r="T210" s="4" t="e">
        <f>T208-T209</f>
        <v>#REF!</v>
      </c>
      <c r="U210" s="7"/>
    </row>
    <row r="211" spans="1:21" s="2" customFormat="1" ht="15" customHeight="1" hidden="1" thickBot="1">
      <c r="A211" s="33"/>
      <c r="B211" s="186"/>
      <c r="C211" s="95">
        <f>C206/F206</f>
        <v>1</v>
      </c>
      <c r="D211" s="96"/>
      <c r="E211" s="97">
        <f>E206/F206</f>
        <v>0</v>
      </c>
      <c r="F211" s="98">
        <f>C211+E211</f>
        <v>1</v>
      </c>
      <c r="G211" s="92"/>
      <c r="H211" s="45"/>
      <c r="I211" s="45"/>
      <c r="J211" s="33"/>
      <c r="K211" s="33"/>
      <c r="L211" s="33"/>
      <c r="M211" s="33"/>
      <c r="N211" s="33"/>
      <c r="O211" s="32"/>
      <c r="P211" s="32"/>
      <c r="Q211" s="285"/>
      <c r="R211" s="14"/>
      <c r="S211" s="4"/>
      <c r="T211" s="16"/>
      <c r="U211" s="7"/>
    </row>
    <row r="212" spans="1:21" s="2" customFormat="1" ht="15" customHeight="1" hidden="1">
      <c r="A212" s="33"/>
      <c r="B212" s="186"/>
      <c r="C212" s="32"/>
      <c r="D212" s="32"/>
      <c r="E212" s="33"/>
      <c r="F212" s="33"/>
      <c r="G212" s="92"/>
      <c r="H212" s="45"/>
      <c r="I212" s="45"/>
      <c r="J212" s="33"/>
      <c r="K212" s="33"/>
      <c r="L212" s="33"/>
      <c r="M212" s="33"/>
      <c r="N212" s="33"/>
      <c r="O212" s="32"/>
      <c r="P212" s="32"/>
      <c r="Q212" s="285"/>
      <c r="R212" s="15" t="s">
        <v>119</v>
      </c>
      <c r="S212" s="4"/>
      <c r="T212" s="16"/>
      <c r="U212" s="7" t="e">
        <f>COUNTIF(#REF!,"CN Administraţia Canalelor Navigabile SA Constanta")</f>
        <v>#REF!</v>
      </c>
    </row>
    <row r="213" spans="1:21" s="2" customFormat="1" ht="15" customHeight="1" hidden="1">
      <c r="A213" s="33"/>
      <c r="B213" s="186"/>
      <c r="C213" s="32"/>
      <c r="D213" s="32"/>
      <c r="E213" s="33"/>
      <c r="F213" s="33"/>
      <c r="G213" s="92"/>
      <c r="H213" s="45"/>
      <c r="I213" s="45"/>
      <c r="J213" s="33"/>
      <c r="K213" s="33"/>
      <c r="L213" s="33"/>
      <c r="M213" s="33"/>
      <c r="N213" s="33"/>
      <c r="O213" s="32"/>
      <c r="P213" s="32"/>
      <c r="Q213" s="285"/>
      <c r="R213" s="24" t="s">
        <v>114</v>
      </c>
      <c r="S213" s="4" t="e">
        <f>SUMIF(#REF!,#REF!,J$10:J$139)</f>
        <v>#REF!</v>
      </c>
      <c r="T213" s="16" t="e">
        <f>SUMIF(#REF!,#REF!,N$10:N$139)</f>
        <v>#REF!</v>
      </c>
      <c r="U213" s="7"/>
    </row>
    <row r="214" spans="1:21" s="2" customFormat="1" ht="15" customHeight="1" hidden="1" thickBot="1">
      <c r="A214" s="33"/>
      <c r="B214" s="186"/>
      <c r="C214" s="32"/>
      <c r="D214" s="32"/>
      <c r="E214" s="33"/>
      <c r="F214" s="33"/>
      <c r="G214" s="92"/>
      <c r="H214" s="45"/>
      <c r="I214" s="45"/>
      <c r="J214" s="33"/>
      <c r="K214" s="33"/>
      <c r="L214" s="33"/>
      <c r="M214" s="33"/>
      <c r="N214" s="33"/>
      <c r="O214" s="32"/>
      <c r="P214" s="35"/>
      <c r="Q214" s="285"/>
      <c r="R214" s="24" t="s">
        <v>110</v>
      </c>
      <c r="S214" s="4">
        <f>'[5]Anexa nr 3'!$I$17</f>
        <v>4554710</v>
      </c>
      <c r="T214" s="16">
        <f>'[5]Anexa nr 3'!$M$17</f>
        <v>2865562</v>
      </c>
      <c r="U214" s="7"/>
    </row>
    <row r="215" spans="1:21" s="2" customFormat="1" ht="15" customHeight="1" hidden="1" thickBot="1">
      <c r="A215" s="33"/>
      <c r="B215" s="186"/>
      <c r="C215" s="32"/>
      <c r="D215" s="32"/>
      <c r="E215" s="46">
        <f>E217-E216</f>
        <v>168368081</v>
      </c>
      <c r="F215" s="46">
        <f>F217-F216</f>
        <v>112666872</v>
      </c>
      <c r="G215" s="92"/>
      <c r="H215" s="45"/>
      <c r="I215" s="45"/>
      <c r="J215" s="33"/>
      <c r="K215" s="33"/>
      <c r="L215" s="33"/>
      <c r="M215" s="33"/>
      <c r="N215" s="33"/>
      <c r="O215" s="32"/>
      <c r="P215" s="35"/>
      <c r="Q215" s="285"/>
      <c r="R215" s="24" t="s">
        <v>79</v>
      </c>
      <c r="S215" s="4" t="e">
        <f>S213-S214</f>
        <v>#REF!</v>
      </c>
      <c r="T215" s="4" t="e">
        <f>T213-T214</f>
        <v>#REF!</v>
      </c>
      <c r="U215" s="7"/>
    </row>
    <row r="216" spans="5:21" ht="15" customHeight="1" hidden="1">
      <c r="E216" s="45"/>
      <c r="F216" s="45"/>
      <c r="H216" s="45"/>
      <c r="I216" s="45"/>
      <c r="J216" s="33"/>
      <c r="K216" s="33"/>
      <c r="L216" s="33"/>
      <c r="M216" s="33"/>
      <c r="N216" s="33"/>
      <c r="P216" s="35"/>
      <c r="R216" s="17" t="s">
        <v>125</v>
      </c>
      <c r="S216" s="6" t="e">
        <f>S213+S208+S202+S197+S192+S187</f>
        <v>#REF!</v>
      </c>
      <c r="T216" s="6" t="e">
        <f>T213+T208+T202+T197+T192+T187</f>
        <v>#REF!</v>
      </c>
      <c r="U216" s="5"/>
    </row>
    <row r="217" spans="5:21" ht="15" customHeight="1" hidden="1">
      <c r="E217" s="99">
        <f>O174</f>
        <v>168368081</v>
      </c>
      <c r="F217" s="99">
        <f>P174</f>
        <v>112666872</v>
      </c>
      <c r="H217" s="45"/>
      <c r="I217" s="45"/>
      <c r="J217" s="33"/>
      <c r="K217" s="33"/>
      <c r="L217" s="33"/>
      <c r="M217" s="33"/>
      <c r="N217" s="33"/>
      <c r="P217" s="35"/>
      <c r="R217" s="2" t="s">
        <v>120</v>
      </c>
      <c r="S217" s="8">
        <f>O174</f>
        <v>168368081</v>
      </c>
      <c r="T217" s="8">
        <f>P174</f>
        <v>112666872</v>
      </c>
      <c r="U217" s="4"/>
    </row>
    <row r="218" spans="6:21" ht="15" customHeight="1" hidden="1">
      <c r="F218" s="33"/>
      <c r="H218" s="45"/>
      <c r="I218" s="45"/>
      <c r="J218" s="33"/>
      <c r="K218" s="33"/>
      <c r="L218" s="33"/>
      <c r="M218" s="33"/>
      <c r="N218" s="33"/>
      <c r="P218" s="35"/>
      <c r="R218" s="2"/>
      <c r="S218" s="8" t="e">
        <f>S216-S217</f>
        <v>#REF!</v>
      </c>
      <c r="T218" s="8" t="e">
        <f>T216-T217</f>
        <v>#REF!</v>
      </c>
      <c r="U218" s="2"/>
    </row>
    <row r="219" spans="6:16" ht="15" customHeight="1" hidden="1">
      <c r="F219" s="33"/>
      <c r="H219" s="45"/>
      <c r="I219" s="45"/>
      <c r="J219" s="33"/>
      <c r="K219" s="33"/>
      <c r="L219" s="33"/>
      <c r="M219" s="33"/>
      <c r="N219" s="33"/>
      <c r="P219" s="35"/>
    </row>
    <row r="220" spans="6:16" ht="15" customHeight="1" hidden="1">
      <c r="F220" s="33"/>
      <c r="H220" s="45"/>
      <c r="I220" s="45"/>
      <c r="J220" s="33"/>
      <c r="K220" s="33"/>
      <c r="L220" s="33"/>
      <c r="M220" s="33"/>
      <c r="N220" s="33"/>
      <c r="P220" s="35"/>
    </row>
    <row r="221" spans="6:21" ht="15" customHeight="1" hidden="1">
      <c r="F221" s="33"/>
      <c r="H221" s="45"/>
      <c r="I221" s="45"/>
      <c r="J221" s="33"/>
      <c r="K221" s="33"/>
      <c r="L221" s="33"/>
      <c r="M221" s="33"/>
      <c r="N221" s="33"/>
      <c r="P221" s="35"/>
      <c r="U221" s="2"/>
    </row>
    <row r="222" spans="6:16" ht="15" customHeight="1" hidden="1">
      <c r="F222" s="33"/>
      <c r="H222" s="45"/>
      <c r="I222" s="45"/>
      <c r="J222" s="33"/>
      <c r="K222" s="33"/>
      <c r="L222" s="33"/>
      <c r="M222" s="33"/>
      <c r="N222" s="33"/>
      <c r="P222" s="35"/>
    </row>
    <row r="223" spans="6:16" ht="15" customHeight="1" hidden="1">
      <c r="F223" s="33"/>
      <c r="H223" s="45"/>
      <c r="I223" s="45"/>
      <c r="J223" s="33"/>
      <c r="K223" s="33"/>
      <c r="L223" s="33"/>
      <c r="M223" s="33"/>
      <c r="N223" s="33"/>
      <c r="P223" s="35"/>
    </row>
    <row r="224" spans="6:16" ht="15" customHeight="1" hidden="1">
      <c r="F224" s="33"/>
      <c r="H224" s="45"/>
      <c r="I224" s="45"/>
      <c r="J224" s="33"/>
      <c r="K224" s="33"/>
      <c r="L224" s="33"/>
      <c r="M224" s="33"/>
      <c r="N224" s="33"/>
      <c r="P224" s="35"/>
    </row>
    <row r="225" spans="6:16" ht="15.75" customHeight="1" hidden="1">
      <c r="F225" s="33"/>
      <c r="H225" s="45"/>
      <c r="I225" s="45"/>
      <c r="J225" s="33"/>
      <c r="K225" s="33"/>
      <c r="L225" s="33"/>
      <c r="M225" s="33"/>
      <c r="N225" s="33"/>
      <c r="P225" s="35"/>
    </row>
    <row r="226" spans="6:16" ht="15.75" customHeight="1" hidden="1">
      <c r="F226" s="33"/>
      <c r="H226" s="45"/>
      <c r="I226" s="45"/>
      <c r="J226" s="33"/>
      <c r="K226" s="33"/>
      <c r="L226" s="33"/>
      <c r="M226" s="33"/>
      <c r="N226" s="33"/>
      <c r="P226" s="35"/>
    </row>
    <row r="227" spans="6:16" ht="15.75" customHeight="1" hidden="1">
      <c r="F227" s="33"/>
      <c r="H227" s="45"/>
      <c r="I227" s="45"/>
      <c r="J227" s="33"/>
      <c r="K227" s="33"/>
      <c r="L227" s="33"/>
      <c r="M227" s="33"/>
      <c r="N227" s="33"/>
      <c r="P227" s="35"/>
    </row>
    <row r="228" spans="6:16" ht="15.75" customHeight="1" hidden="1">
      <c r="F228" s="33"/>
      <c r="H228" s="45"/>
      <c r="I228" s="45"/>
      <c r="J228" s="33"/>
      <c r="K228" s="33"/>
      <c r="L228" s="33"/>
      <c r="M228" s="33"/>
      <c r="N228" s="33"/>
      <c r="P228" s="35"/>
    </row>
    <row r="229" spans="6:16" ht="15.75" customHeight="1" hidden="1">
      <c r="F229" s="33"/>
      <c r="H229" s="45"/>
      <c r="I229" s="45"/>
      <c r="J229" s="33"/>
      <c r="K229" s="33"/>
      <c r="L229" s="33"/>
      <c r="M229" s="33"/>
      <c r="N229" s="33"/>
      <c r="P229" s="35"/>
    </row>
    <row r="230" spans="6:16" ht="15.75" customHeight="1" hidden="1">
      <c r="F230" s="33"/>
      <c r="H230" s="45"/>
      <c r="I230" s="45"/>
      <c r="J230" s="33"/>
      <c r="K230" s="33"/>
      <c r="L230" s="33"/>
      <c r="M230" s="33"/>
      <c r="N230" s="33"/>
      <c r="P230" s="35"/>
    </row>
    <row r="231" spans="1:25" s="165" customFormat="1" ht="15.75" customHeight="1" hidden="1">
      <c r="A231" s="33"/>
      <c r="B231" s="186"/>
      <c r="C231" s="32"/>
      <c r="D231" s="32"/>
      <c r="E231" s="33"/>
      <c r="F231" s="33"/>
      <c r="G231" s="92"/>
      <c r="H231" s="45"/>
      <c r="I231" s="45"/>
      <c r="J231" s="33"/>
      <c r="K231" s="33"/>
      <c r="L231" s="33"/>
      <c r="M231" s="33"/>
      <c r="N231" s="33"/>
      <c r="O231" s="32"/>
      <c r="P231" s="35"/>
      <c r="Q231" s="285"/>
      <c r="R231" s="1"/>
      <c r="S231" s="1"/>
      <c r="T231" s="1"/>
      <c r="U231" s="1"/>
      <c r="V231" s="1"/>
      <c r="W231" s="1"/>
      <c r="X231" s="1"/>
      <c r="Y231" s="1"/>
    </row>
    <row r="232" spans="1:25" s="165" customFormat="1" ht="15.75" customHeight="1" hidden="1">
      <c r="A232" s="33"/>
      <c r="B232" s="186"/>
      <c r="C232" s="32"/>
      <c r="D232" s="32"/>
      <c r="E232" s="33"/>
      <c r="F232" s="33"/>
      <c r="G232" s="92"/>
      <c r="H232" s="45"/>
      <c r="I232" s="45"/>
      <c r="J232" s="33"/>
      <c r="K232" s="33"/>
      <c r="L232" s="33"/>
      <c r="M232" s="33"/>
      <c r="N232" s="33"/>
      <c r="O232" s="32"/>
      <c r="P232" s="35"/>
      <c r="Q232" s="285"/>
      <c r="R232" s="1"/>
      <c r="S232" s="1"/>
      <c r="T232" s="1"/>
      <c r="U232" s="1"/>
      <c r="V232" s="1"/>
      <c r="W232" s="1"/>
      <c r="X232" s="1"/>
      <c r="Y232" s="1"/>
    </row>
    <row r="233" spans="1:25" s="165" customFormat="1" ht="15.75" customHeight="1" hidden="1">
      <c r="A233" s="33"/>
      <c r="B233" s="186"/>
      <c r="C233" s="32"/>
      <c r="D233" s="32"/>
      <c r="E233" s="33"/>
      <c r="F233" s="33"/>
      <c r="G233" s="92"/>
      <c r="H233" s="45"/>
      <c r="I233" s="45"/>
      <c r="J233" s="33"/>
      <c r="K233" s="33"/>
      <c r="L233" s="33"/>
      <c r="M233" s="33"/>
      <c r="N233" s="33"/>
      <c r="O233" s="32"/>
      <c r="P233" s="35"/>
      <c r="Q233" s="285"/>
      <c r="R233" s="1"/>
      <c r="S233" s="1"/>
      <c r="T233" s="1"/>
      <c r="U233" s="1"/>
      <c r="V233" s="1"/>
      <c r="W233" s="1"/>
      <c r="X233" s="1"/>
      <c r="Y233" s="1"/>
    </row>
    <row r="234" spans="1:25" s="165" customFormat="1" ht="15.75" customHeight="1" hidden="1">
      <c r="A234" s="33"/>
      <c r="B234" s="186"/>
      <c r="C234" s="32"/>
      <c r="D234" s="32"/>
      <c r="E234" s="33"/>
      <c r="F234" s="33"/>
      <c r="G234" s="92"/>
      <c r="H234" s="45"/>
      <c r="I234" s="45"/>
      <c r="J234" s="33"/>
      <c r="K234" s="33"/>
      <c r="L234" s="33"/>
      <c r="M234" s="33"/>
      <c r="N234" s="33"/>
      <c r="O234" s="32"/>
      <c r="P234" s="35"/>
      <c r="Q234" s="285"/>
      <c r="R234" s="1"/>
      <c r="S234" s="1"/>
      <c r="T234" s="1"/>
      <c r="U234" s="1"/>
      <c r="V234" s="1"/>
      <c r="W234" s="1"/>
      <c r="X234" s="1"/>
      <c r="Y234" s="1"/>
    </row>
    <row r="235" spans="1:25" s="165" customFormat="1" ht="15.75" customHeight="1" hidden="1">
      <c r="A235" s="33"/>
      <c r="B235" s="186"/>
      <c r="C235" s="32"/>
      <c r="D235" s="32"/>
      <c r="E235" s="33"/>
      <c r="F235" s="33"/>
      <c r="G235" s="92"/>
      <c r="H235" s="45"/>
      <c r="I235" s="45"/>
      <c r="J235" s="33"/>
      <c r="K235" s="33"/>
      <c r="L235" s="33"/>
      <c r="M235" s="33"/>
      <c r="N235" s="33"/>
      <c r="O235" s="32"/>
      <c r="P235" s="35"/>
      <c r="Q235" s="285"/>
      <c r="R235" s="1"/>
      <c r="S235" s="1"/>
      <c r="T235" s="1"/>
      <c r="U235" s="1"/>
      <c r="V235" s="1"/>
      <c r="W235" s="1"/>
      <c r="X235" s="1"/>
      <c r="Y235" s="1"/>
    </row>
    <row r="236" spans="1:25" s="165" customFormat="1" ht="15.75" customHeight="1" hidden="1">
      <c r="A236" s="33"/>
      <c r="B236" s="186"/>
      <c r="C236" s="32"/>
      <c r="D236" s="32"/>
      <c r="E236" s="33"/>
      <c r="F236" s="33"/>
      <c r="G236" s="92"/>
      <c r="H236" s="45"/>
      <c r="I236" s="45"/>
      <c r="J236" s="33"/>
      <c r="K236" s="33"/>
      <c r="L236" s="33"/>
      <c r="M236" s="33"/>
      <c r="N236" s="33"/>
      <c r="O236" s="32"/>
      <c r="P236" s="35"/>
      <c r="Q236" s="285"/>
      <c r="R236" s="1"/>
      <c r="S236" s="1"/>
      <c r="T236" s="1"/>
      <c r="U236" s="1"/>
      <c r="V236" s="1"/>
      <c r="W236" s="1"/>
      <c r="X236" s="1"/>
      <c r="Y236" s="1"/>
    </row>
    <row r="237" spans="1:25" s="165" customFormat="1" ht="15.75" customHeight="1" hidden="1">
      <c r="A237" s="33"/>
      <c r="B237" s="186"/>
      <c r="C237" s="32"/>
      <c r="D237" s="32"/>
      <c r="E237" s="33"/>
      <c r="F237" s="33"/>
      <c r="G237" s="92"/>
      <c r="H237" s="45"/>
      <c r="I237" s="45"/>
      <c r="J237" s="33"/>
      <c r="K237" s="33"/>
      <c r="L237" s="33"/>
      <c r="M237" s="33"/>
      <c r="N237" s="33"/>
      <c r="O237" s="32"/>
      <c r="P237" s="35"/>
      <c r="Q237" s="285"/>
      <c r="R237" s="1"/>
      <c r="S237" s="1"/>
      <c r="T237" s="1"/>
      <c r="U237" s="1"/>
      <c r="V237" s="1"/>
      <c r="W237" s="1"/>
      <c r="X237" s="1"/>
      <c r="Y237" s="1"/>
    </row>
    <row r="238" spans="1:25" s="165" customFormat="1" ht="15.75" customHeight="1" hidden="1">
      <c r="A238" s="33"/>
      <c r="B238" s="186"/>
      <c r="C238" s="32"/>
      <c r="D238" s="32"/>
      <c r="E238" s="33"/>
      <c r="F238" s="33"/>
      <c r="G238" s="92"/>
      <c r="H238" s="45"/>
      <c r="I238" s="45"/>
      <c r="J238" s="33"/>
      <c r="K238" s="33"/>
      <c r="L238" s="33"/>
      <c r="M238" s="33"/>
      <c r="N238" s="33"/>
      <c r="O238" s="32"/>
      <c r="P238" s="35"/>
      <c r="Q238" s="285"/>
      <c r="R238" s="1"/>
      <c r="S238" s="1"/>
      <c r="T238" s="1"/>
      <c r="U238" s="1"/>
      <c r="V238" s="1"/>
      <c r="W238" s="1"/>
      <c r="X238" s="1"/>
      <c r="Y238" s="1"/>
    </row>
    <row r="239" spans="1:25" s="165" customFormat="1" ht="15.75" customHeight="1" hidden="1">
      <c r="A239" s="33"/>
      <c r="B239" s="186"/>
      <c r="C239" s="32"/>
      <c r="D239" s="32"/>
      <c r="E239" s="33"/>
      <c r="F239" s="33"/>
      <c r="G239" s="92"/>
      <c r="H239" s="45"/>
      <c r="I239" s="45"/>
      <c r="J239" s="33"/>
      <c r="K239" s="33"/>
      <c r="L239" s="33"/>
      <c r="M239" s="33"/>
      <c r="N239" s="33"/>
      <c r="O239" s="32"/>
      <c r="P239" s="35"/>
      <c r="Q239" s="285"/>
      <c r="R239" s="1"/>
      <c r="S239" s="1"/>
      <c r="T239" s="1"/>
      <c r="U239" s="1"/>
      <c r="V239" s="1"/>
      <c r="W239" s="1"/>
      <c r="X239" s="1"/>
      <c r="Y239" s="1"/>
    </row>
    <row r="240" spans="1:25" s="165" customFormat="1" ht="15.75" customHeight="1" hidden="1">
      <c r="A240" s="33"/>
      <c r="B240" s="186"/>
      <c r="C240" s="32"/>
      <c r="D240" s="32"/>
      <c r="E240" s="33"/>
      <c r="F240" s="33"/>
      <c r="G240" s="92"/>
      <c r="H240" s="45"/>
      <c r="I240" s="45"/>
      <c r="J240" s="33"/>
      <c r="K240" s="33"/>
      <c r="L240" s="33"/>
      <c r="M240" s="33"/>
      <c r="N240" s="33"/>
      <c r="O240" s="32"/>
      <c r="P240" s="35"/>
      <c r="Q240" s="285"/>
      <c r="R240" s="1"/>
      <c r="S240" s="1"/>
      <c r="T240" s="1"/>
      <c r="U240" s="1"/>
      <c r="V240" s="1"/>
      <c r="W240" s="1"/>
      <c r="X240" s="1"/>
      <c r="Y240" s="1"/>
    </row>
    <row r="241" spans="1:25" s="165" customFormat="1" ht="15.75" customHeight="1" hidden="1">
      <c r="A241" s="33"/>
      <c r="B241" s="186"/>
      <c r="C241" s="32"/>
      <c r="D241" s="32"/>
      <c r="E241" s="33"/>
      <c r="F241" s="33"/>
      <c r="G241" s="92"/>
      <c r="H241" s="45"/>
      <c r="I241" s="45"/>
      <c r="J241" s="33"/>
      <c r="K241" s="33"/>
      <c r="L241" s="33"/>
      <c r="M241" s="33"/>
      <c r="N241" s="33"/>
      <c r="O241" s="32"/>
      <c r="P241" s="35"/>
      <c r="Q241" s="285"/>
      <c r="R241" s="1"/>
      <c r="S241" s="1"/>
      <c r="T241" s="1"/>
      <c r="U241" s="1"/>
      <c r="V241" s="1"/>
      <c r="W241" s="1"/>
      <c r="X241" s="1"/>
      <c r="Y241" s="1"/>
    </row>
    <row r="242" spans="1:25" s="165" customFormat="1" ht="15.75" customHeight="1" hidden="1">
      <c r="A242" s="33"/>
      <c r="B242" s="186"/>
      <c r="C242" s="32"/>
      <c r="D242" s="32"/>
      <c r="E242" s="33"/>
      <c r="F242" s="33"/>
      <c r="G242" s="92"/>
      <c r="H242" s="45"/>
      <c r="I242" s="45"/>
      <c r="J242" s="33"/>
      <c r="K242" s="33"/>
      <c r="L242" s="33"/>
      <c r="M242" s="33"/>
      <c r="N242" s="33"/>
      <c r="O242" s="32"/>
      <c r="P242" s="35"/>
      <c r="Q242" s="285"/>
      <c r="R242" s="1"/>
      <c r="S242" s="1"/>
      <c r="T242" s="1"/>
      <c r="U242" s="1"/>
      <c r="V242" s="1"/>
      <c r="W242" s="1"/>
      <c r="X242" s="1"/>
      <c r="Y242" s="1"/>
    </row>
    <row r="243" spans="1:25" s="165" customFormat="1" ht="15.75" customHeight="1" hidden="1">
      <c r="A243" s="33"/>
      <c r="B243" s="186"/>
      <c r="C243" s="32"/>
      <c r="D243" s="32"/>
      <c r="E243" s="33"/>
      <c r="F243" s="33"/>
      <c r="G243" s="92"/>
      <c r="H243" s="45"/>
      <c r="I243" s="45"/>
      <c r="J243" s="33"/>
      <c r="K243" s="33"/>
      <c r="L243" s="33"/>
      <c r="M243" s="33"/>
      <c r="N243" s="33"/>
      <c r="O243" s="32"/>
      <c r="P243" s="35"/>
      <c r="Q243" s="285"/>
      <c r="R243" s="1"/>
      <c r="S243" s="1"/>
      <c r="T243" s="1"/>
      <c r="U243" s="1"/>
      <c r="V243" s="1"/>
      <c r="W243" s="1"/>
      <c r="X243" s="1"/>
      <c r="Y243" s="1"/>
    </row>
    <row r="244" spans="1:25" s="165" customFormat="1" ht="15.75" customHeight="1" hidden="1">
      <c r="A244" s="33"/>
      <c r="B244" s="186"/>
      <c r="C244" s="32"/>
      <c r="D244" s="32"/>
      <c r="E244" s="33"/>
      <c r="F244" s="33"/>
      <c r="G244" s="92"/>
      <c r="H244" s="45"/>
      <c r="I244" s="45"/>
      <c r="J244" s="33"/>
      <c r="K244" s="33"/>
      <c r="L244" s="33"/>
      <c r="M244" s="33"/>
      <c r="N244" s="33"/>
      <c r="O244" s="32"/>
      <c r="P244" s="35"/>
      <c r="Q244" s="285"/>
      <c r="R244" s="1"/>
      <c r="S244" s="1"/>
      <c r="T244" s="1"/>
      <c r="U244" s="1"/>
      <c r="V244" s="1"/>
      <c r="W244" s="1"/>
      <c r="X244" s="1"/>
      <c r="Y244" s="1"/>
    </row>
    <row r="245" spans="1:25" s="165" customFormat="1" ht="15.75" customHeight="1" hidden="1">
      <c r="A245" s="33"/>
      <c r="B245" s="186"/>
      <c r="C245" s="32"/>
      <c r="D245" s="32"/>
      <c r="E245" s="33"/>
      <c r="F245" s="33"/>
      <c r="G245" s="92"/>
      <c r="H245" s="45"/>
      <c r="I245" s="45"/>
      <c r="J245" s="33"/>
      <c r="K245" s="33"/>
      <c r="L245" s="33"/>
      <c r="M245" s="33"/>
      <c r="N245" s="33"/>
      <c r="O245" s="32"/>
      <c r="P245" s="35"/>
      <c r="Q245" s="285"/>
      <c r="R245" s="1"/>
      <c r="S245" s="1"/>
      <c r="T245" s="1"/>
      <c r="U245" s="1"/>
      <c r="V245" s="1"/>
      <c r="W245" s="1"/>
      <c r="X245" s="1"/>
      <c r="Y245" s="1"/>
    </row>
    <row r="246" spans="1:25" s="165" customFormat="1" ht="15.75" customHeight="1" hidden="1">
      <c r="A246" s="33"/>
      <c r="B246" s="186"/>
      <c r="C246" s="32"/>
      <c r="D246" s="32"/>
      <c r="E246" s="33"/>
      <c r="F246" s="33"/>
      <c r="G246" s="92"/>
      <c r="H246" s="45"/>
      <c r="I246" s="45"/>
      <c r="J246" s="33"/>
      <c r="K246" s="33"/>
      <c r="L246" s="33"/>
      <c r="M246" s="33"/>
      <c r="N246" s="33"/>
      <c r="O246" s="32"/>
      <c r="P246" s="35"/>
      <c r="Q246" s="285"/>
      <c r="R246" s="1"/>
      <c r="S246" s="1"/>
      <c r="T246" s="1"/>
      <c r="U246" s="1"/>
      <c r="V246" s="1"/>
      <c r="W246" s="1"/>
      <c r="X246" s="1"/>
      <c r="Y246" s="1"/>
    </row>
    <row r="247" spans="1:25" s="165" customFormat="1" ht="15.75" customHeight="1" hidden="1">
      <c r="A247" s="33"/>
      <c r="B247" s="186"/>
      <c r="C247" s="32"/>
      <c r="D247" s="32"/>
      <c r="E247" s="33"/>
      <c r="F247" s="33"/>
      <c r="G247" s="92"/>
      <c r="H247" s="45"/>
      <c r="I247" s="45"/>
      <c r="J247" s="33"/>
      <c r="K247" s="33"/>
      <c r="L247" s="33"/>
      <c r="M247" s="33"/>
      <c r="N247" s="33"/>
      <c r="O247" s="32"/>
      <c r="P247" s="35"/>
      <c r="Q247" s="285"/>
      <c r="R247" s="1"/>
      <c r="S247" s="1"/>
      <c r="T247" s="1"/>
      <c r="U247" s="1"/>
      <c r="V247" s="1"/>
      <c r="W247" s="1"/>
      <c r="X247" s="1"/>
      <c r="Y247" s="1"/>
    </row>
    <row r="248" spans="1:25" s="165" customFormat="1" ht="15.75" customHeight="1" hidden="1">
      <c r="A248" s="33"/>
      <c r="B248" s="186"/>
      <c r="C248" s="32"/>
      <c r="D248" s="32"/>
      <c r="E248" s="33"/>
      <c r="F248" s="33"/>
      <c r="G248" s="92"/>
      <c r="H248" s="45"/>
      <c r="I248" s="45"/>
      <c r="J248" s="33"/>
      <c r="K248" s="33"/>
      <c r="L248" s="33"/>
      <c r="M248" s="33"/>
      <c r="N248" s="33"/>
      <c r="O248" s="32"/>
      <c r="P248" s="35"/>
      <c r="Q248" s="285"/>
      <c r="R248" s="1"/>
      <c r="S248" s="1"/>
      <c r="T248" s="1"/>
      <c r="U248" s="1"/>
      <c r="V248" s="1"/>
      <c r="W248" s="1"/>
      <c r="X248" s="1"/>
      <c r="Y248" s="1"/>
    </row>
    <row r="249" spans="1:25" s="165" customFormat="1" ht="15.75" customHeight="1" hidden="1">
      <c r="A249" s="33"/>
      <c r="B249" s="186"/>
      <c r="C249" s="32"/>
      <c r="D249" s="32"/>
      <c r="E249" s="33"/>
      <c r="F249" s="33"/>
      <c r="G249" s="92"/>
      <c r="H249" s="45"/>
      <c r="I249" s="45"/>
      <c r="J249" s="33"/>
      <c r="K249" s="33"/>
      <c r="L249" s="33"/>
      <c r="M249" s="33"/>
      <c r="N249" s="33"/>
      <c r="O249" s="32"/>
      <c r="P249" s="35"/>
      <c r="Q249" s="285"/>
      <c r="R249" s="1"/>
      <c r="S249" s="1"/>
      <c r="T249" s="1"/>
      <c r="U249" s="1"/>
      <c r="V249" s="1"/>
      <c r="W249" s="1"/>
      <c r="X249" s="1"/>
      <c r="Y249" s="1"/>
    </row>
    <row r="250" spans="1:25" s="165" customFormat="1" ht="15.75" customHeight="1" hidden="1">
      <c r="A250" s="33"/>
      <c r="B250" s="186"/>
      <c r="C250" s="32"/>
      <c r="D250" s="32"/>
      <c r="E250" s="33"/>
      <c r="F250" s="33"/>
      <c r="G250" s="92"/>
      <c r="H250" s="45"/>
      <c r="I250" s="45"/>
      <c r="J250" s="33"/>
      <c r="K250" s="33"/>
      <c r="L250" s="33"/>
      <c r="M250" s="33"/>
      <c r="N250" s="33"/>
      <c r="O250" s="32"/>
      <c r="P250" s="35"/>
      <c r="Q250" s="285"/>
      <c r="R250" s="1"/>
      <c r="S250" s="1"/>
      <c r="T250" s="1"/>
      <c r="U250" s="1"/>
      <c r="V250" s="1"/>
      <c r="W250" s="1"/>
      <c r="X250" s="1"/>
      <c r="Y250" s="1"/>
    </row>
    <row r="251" spans="1:25" s="165" customFormat="1" ht="15.75" customHeight="1" hidden="1">
      <c r="A251" s="33"/>
      <c r="B251" s="186"/>
      <c r="C251" s="32"/>
      <c r="D251" s="32"/>
      <c r="E251" s="33"/>
      <c r="F251" s="33"/>
      <c r="G251" s="92"/>
      <c r="H251" s="45"/>
      <c r="I251" s="45"/>
      <c r="J251" s="33"/>
      <c r="K251" s="33"/>
      <c r="L251" s="33"/>
      <c r="M251" s="33"/>
      <c r="N251" s="33"/>
      <c r="O251" s="32"/>
      <c r="P251" s="35"/>
      <c r="Q251" s="285"/>
      <c r="R251" s="1"/>
      <c r="S251" s="1"/>
      <c r="T251" s="1"/>
      <c r="U251" s="1"/>
      <c r="V251" s="1"/>
      <c r="W251" s="1"/>
      <c r="X251" s="1"/>
      <c r="Y251" s="1"/>
    </row>
    <row r="252" spans="1:25" s="165" customFormat="1" ht="15.75" customHeight="1" hidden="1">
      <c r="A252" s="33"/>
      <c r="B252" s="186"/>
      <c r="C252" s="32"/>
      <c r="D252" s="32"/>
      <c r="E252" s="33"/>
      <c r="F252" s="33"/>
      <c r="G252" s="92"/>
      <c r="H252" s="45"/>
      <c r="I252" s="45"/>
      <c r="J252" s="33"/>
      <c r="K252" s="33"/>
      <c r="L252" s="33"/>
      <c r="M252" s="33"/>
      <c r="N252" s="33"/>
      <c r="O252" s="32"/>
      <c r="P252" s="35"/>
      <c r="Q252" s="285"/>
      <c r="R252" s="1"/>
      <c r="S252" s="1"/>
      <c r="T252" s="1"/>
      <c r="U252" s="1"/>
      <c r="V252" s="1"/>
      <c r="W252" s="1"/>
      <c r="X252" s="1"/>
      <c r="Y252" s="1"/>
    </row>
    <row r="253" spans="1:25" s="165" customFormat="1" ht="15.75" customHeight="1" hidden="1">
      <c r="A253" s="33"/>
      <c r="B253" s="186"/>
      <c r="C253" s="32"/>
      <c r="D253" s="32"/>
      <c r="E253" s="33"/>
      <c r="F253" s="33"/>
      <c r="G253" s="92"/>
      <c r="H253" s="45"/>
      <c r="I253" s="45"/>
      <c r="J253" s="33"/>
      <c r="K253" s="33"/>
      <c r="L253" s="33"/>
      <c r="M253" s="33"/>
      <c r="N253" s="33"/>
      <c r="O253" s="32"/>
      <c r="P253" s="35"/>
      <c r="Q253" s="285"/>
      <c r="R253" s="1"/>
      <c r="S253" s="1"/>
      <c r="T253" s="1"/>
      <c r="U253" s="1"/>
      <c r="V253" s="1"/>
      <c r="W253" s="1"/>
      <c r="X253" s="1"/>
      <c r="Y253" s="1"/>
    </row>
    <row r="254" spans="1:25" s="165" customFormat="1" ht="15.75" customHeight="1" hidden="1">
      <c r="A254" s="33"/>
      <c r="B254" s="186"/>
      <c r="C254" s="32"/>
      <c r="D254" s="32"/>
      <c r="E254" s="33"/>
      <c r="F254" s="33"/>
      <c r="G254" s="92"/>
      <c r="H254" s="45"/>
      <c r="I254" s="45"/>
      <c r="J254" s="33"/>
      <c r="K254" s="33"/>
      <c r="L254" s="33"/>
      <c r="M254" s="33"/>
      <c r="N254" s="33"/>
      <c r="O254" s="32"/>
      <c r="P254" s="35"/>
      <c r="Q254" s="285"/>
      <c r="R254" s="1"/>
      <c r="S254" s="1"/>
      <c r="T254" s="1"/>
      <c r="U254" s="1"/>
      <c r="V254" s="1"/>
      <c r="W254" s="1"/>
      <c r="X254" s="1"/>
      <c r="Y254" s="1"/>
    </row>
    <row r="255" spans="1:25" s="165" customFormat="1" ht="15.75" customHeight="1" hidden="1">
      <c r="A255" s="33"/>
      <c r="B255" s="186"/>
      <c r="C255" s="32"/>
      <c r="D255" s="32"/>
      <c r="E255" s="33"/>
      <c r="F255" s="33"/>
      <c r="G255" s="92"/>
      <c r="H255" s="45"/>
      <c r="I255" s="45"/>
      <c r="J255" s="33"/>
      <c r="K255" s="33"/>
      <c r="L255" s="33"/>
      <c r="M255" s="33"/>
      <c r="N255" s="33"/>
      <c r="O255" s="32"/>
      <c r="P255" s="35"/>
      <c r="Q255" s="285"/>
      <c r="R255" s="1"/>
      <c r="S255" s="1"/>
      <c r="T255" s="1"/>
      <c r="U255" s="1"/>
      <c r="V255" s="1"/>
      <c r="W255" s="1"/>
      <c r="X255" s="1"/>
      <c r="Y255" s="1"/>
    </row>
    <row r="256" spans="1:25" s="165" customFormat="1" ht="15.75" customHeight="1" hidden="1">
      <c r="A256" s="33"/>
      <c r="B256" s="186"/>
      <c r="C256" s="32"/>
      <c r="D256" s="32"/>
      <c r="E256" s="33"/>
      <c r="F256" s="33"/>
      <c r="G256" s="92"/>
      <c r="H256" s="45"/>
      <c r="I256" s="45"/>
      <c r="J256" s="33"/>
      <c r="K256" s="33"/>
      <c r="L256" s="33"/>
      <c r="M256" s="33"/>
      <c r="N256" s="33"/>
      <c r="O256" s="32"/>
      <c r="P256" s="35"/>
      <c r="Q256" s="285"/>
      <c r="R256" s="1"/>
      <c r="S256" s="1"/>
      <c r="T256" s="1"/>
      <c r="U256" s="1"/>
      <c r="V256" s="1"/>
      <c r="W256" s="1"/>
      <c r="X256" s="1"/>
      <c r="Y256" s="1"/>
    </row>
    <row r="257" spans="1:25" s="165" customFormat="1" ht="15.75" customHeight="1" hidden="1">
      <c r="A257" s="33"/>
      <c r="B257" s="186"/>
      <c r="C257" s="32"/>
      <c r="D257" s="32"/>
      <c r="E257" s="33"/>
      <c r="F257" s="33"/>
      <c r="G257" s="92"/>
      <c r="H257" s="45"/>
      <c r="I257" s="45"/>
      <c r="J257" s="33"/>
      <c r="K257" s="33"/>
      <c r="L257" s="33"/>
      <c r="M257" s="33"/>
      <c r="N257" s="33"/>
      <c r="O257" s="32"/>
      <c r="P257" s="35"/>
      <c r="Q257" s="285"/>
      <c r="R257" s="1"/>
      <c r="S257" s="1"/>
      <c r="T257" s="1"/>
      <c r="U257" s="1"/>
      <c r="V257" s="1"/>
      <c r="W257" s="1"/>
      <c r="X257" s="1"/>
      <c r="Y257" s="1"/>
    </row>
    <row r="258" spans="1:25" s="165" customFormat="1" ht="15.75" customHeight="1" hidden="1">
      <c r="A258" s="33"/>
      <c r="B258" s="186"/>
      <c r="C258" s="32"/>
      <c r="D258" s="32"/>
      <c r="E258" s="33"/>
      <c r="F258" s="33"/>
      <c r="G258" s="92"/>
      <c r="H258" s="45"/>
      <c r="I258" s="45"/>
      <c r="J258" s="33"/>
      <c r="K258" s="33"/>
      <c r="L258" s="33"/>
      <c r="M258" s="33"/>
      <c r="N258" s="33"/>
      <c r="O258" s="32"/>
      <c r="P258" s="35"/>
      <c r="Q258" s="285"/>
      <c r="R258" s="1"/>
      <c r="S258" s="1"/>
      <c r="T258" s="1"/>
      <c r="U258" s="1"/>
      <c r="V258" s="1"/>
      <c r="W258" s="1"/>
      <c r="X258" s="1"/>
      <c r="Y258" s="1"/>
    </row>
    <row r="259" spans="1:25" s="165" customFormat="1" ht="15.75" customHeight="1" hidden="1">
      <c r="A259" s="33"/>
      <c r="B259" s="186"/>
      <c r="C259" s="32"/>
      <c r="D259" s="32"/>
      <c r="E259" s="33"/>
      <c r="F259" s="33"/>
      <c r="G259" s="92"/>
      <c r="H259" s="45"/>
      <c r="I259" s="45"/>
      <c r="J259" s="33"/>
      <c r="K259" s="33"/>
      <c r="L259" s="33"/>
      <c r="M259" s="33"/>
      <c r="N259" s="33"/>
      <c r="O259" s="32"/>
      <c r="P259" s="35"/>
      <c r="Q259" s="285"/>
      <c r="R259" s="1"/>
      <c r="S259" s="1"/>
      <c r="T259" s="1"/>
      <c r="U259" s="1"/>
      <c r="V259" s="1"/>
      <c r="W259" s="1"/>
      <c r="X259" s="1"/>
      <c r="Y259" s="1"/>
    </row>
    <row r="260" spans="1:25" s="165" customFormat="1" ht="15.75" customHeight="1" hidden="1">
      <c r="A260" s="33"/>
      <c r="B260" s="186"/>
      <c r="C260" s="32"/>
      <c r="D260" s="32"/>
      <c r="E260" s="33"/>
      <c r="F260" s="33"/>
      <c r="G260" s="92"/>
      <c r="H260" s="45"/>
      <c r="I260" s="45"/>
      <c r="J260" s="33"/>
      <c r="K260" s="33"/>
      <c r="L260" s="33"/>
      <c r="M260" s="33"/>
      <c r="N260" s="33"/>
      <c r="O260" s="32"/>
      <c r="P260" s="35"/>
      <c r="Q260" s="285"/>
      <c r="R260" s="1"/>
      <c r="S260" s="1"/>
      <c r="T260" s="1"/>
      <c r="U260" s="1"/>
      <c r="V260" s="1"/>
      <c r="W260" s="1"/>
      <c r="X260" s="1"/>
      <c r="Y260" s="1"/>
    </row>
    <row r="261" spans="1:25" s="165" customFormat="1" ht="15.75" customHeight="1" hidden="1">
      <c r="A261" s="33"/>
      <c r="B261" s="186"/>
      <c r="C261" s="32"/>
      <c r="D261" s="32"/>
      <c r="E261" s="33"/>
      <c r="F261" s="33"/>
      <c r="G261" s="92"/>
      <c r="H261" s="45"/>
      <c r="I261" s="45"/>
      <c r="J261" s="33"/>
      <c r="K261" s="33"/>
      <c r="L261" s="33"/>
      <c r="M261" s="33"/>
      <c r="N261" s="33"/>
      <c r="O261" s="32"/>
      <c r="P261" s="35"/>
      <c r="Q261" s="285"/>
      <c r="R261" s="1"/>
      <c r="S261" s="1"/>
      <c r="T261" s="1"/>
      <c r="U261" s="1"/>
      <c r="V261" s="1"/>
      <c r="W261" s="1"/>
      <c r="X261" s="1"/>
      <c r="Y261" s="1"/>
    </row>
    <row r="262" spans="1:25" s="165" customFormat="1" ht="15.75" customHeight="1" hidden="1">
      <c r="A262" s="33"/>
      <c r="B262" s="186"/>
      <c r="C262" s="32"/>
      <c r="D262" s="32"/>
      <c r="E262" s="33"/>
      <c r="F262" s="33"/>
      <c r="G262" s="92"/>
      <c r="H262" s="45"/>
      <c r="I262" s="45"/>
      <c r="J262" s="33"/>
      <c r="K262" s="33"/>
      <c r="L262" s="33"/>
      <c r="M262" s="33"/>
      <c r="N262" s="33"/>
      <c r="O262" s="32"/>
      <c r="P262" s="35"/>
      <c r="Q262" s="285"/>
      <c r="R262" s="1"/>
      <c r="S262" s="1"/>
      <c r="T262" s="1"/>
      <c r="U262" s="1"/>
      <c r="V262" s="1"/>
      <c r="W262" s="1"/>
      <c r="X262" s="1"/>
      <c r="Y262" s="1"/>
    </row>
    <row r="263" spans="1:25" s="165" customFormat="1" ht="15.75" customHeight="1" hidden="1">
      <c r="A263" s="33"/>
      <c r="B263" s="186"/>
      <c r="C263" s="32"/>
      <c r="D263" s="32"/>
      <c r="E263" s="33"/>
      <c r="F263" s="33"/>
      <c r="G263" s="92"/>
      <c r="H263" s="45"/>
      <c r="I263" s="45"/>
      <c r="J263" s="33"/>
      <c r="K263" s="33"/>
      <c r="L263" s="33"/>
      <c r="M263" s="33"/>
      <c r="N263" s="33"/>
      <c r="O263" s="32"/>
      <c r="P263" s="35"/>
      <c r="Q263" s="285"/>
      <c r="R263" s="1"/>
      <c r="S263" s="1"/>
      <c r="T263" s="1"/>
      <c r="U263" s="1"/>
      <c r="V263" s="1"/>
      <c r="W263" s="1"/>
      <c r="X263" s="1"/>
      <c r="Y263" s="1"/>
    </row>
    <row r="264" spans="1:25" s="165" customFormat="1" ht="15.75" customHeight="1" hidden="1">
      <c r="A264" s="33"/>
      <c r="B264" s="186"/>
      <c r="C264" s="32"/>
      <c r="D264" s="32"/>
      <c r="E264" s="33"/>
      <c r="F264" s="33"/>
      <c r="G264" s="92"/>
      <c r="H264" s="45"/>
      <c r="I264" s="45"/>
      <c r="J264" s="33"/>
      <c r="K264" s="33"/>
      <c r="L264" s="33"/>
      <c r="M264" s="33"/>
      <c r="N264" s="33"/>
      <c r="O264" s="32"/>
      <c r="P264" s="35"/>
      <c r="Q264" s="285"/>
      <c r="R264" s="1"/>
      <c r="S264" s="1"/>
      <c r="T264" s="1"/>
      <c r="U264" s="1"/>
      <c r="V264" s="1"/>
      <c r="W264" s="1"/>
      <c r="X264" s="1"/>
      <c r="Y264" s="1"/>
    </row>
    <row r="265" spans="1:25" s="165" customFormat="1" ht="15.75" customHeight="1" hidden="1">
      <c r="A265" s="33"/>
      <c r="B265" s="186"/>
      <c r="C265" s="32"/>
      <c r="D265" s="32"/>
      <c r="E265" s="33"/>
      <c r="F265" s="33"/>
      <c r="G265" s="92"/>
      <c r="H265" s="45"/>
      <c r="I265" s="45"/>
      <c r="J265" s="33"/>
      <c r="K265" s="33"/>
      <c r="L265" s="33"/>
      <c r="M265" s="33"/>
      <c r="N265" s="33"/>
      <c r="O265" s="32"/>
      <c r="P265" s="35"/>
      <c r="Q265" s="285"/>
      <c r="R265" s="1"/>
      <c r="S265" s="1"/>
      <c r="T265" s="1"/>
      <c r="U265" s="1"/>
      <c r="V265" s="1"/>
      <c r="W265" s="1"/>
      <c r="X265" s="1"/>
      <c r="Y265" s="1"/>
    </row>
    <row r="266" spans="1:25" s="165" customFormat="1" ht="15.75" customHeight="1" hidden="1">
      <c r="A266" s="33"/>
      <c r="B266" s="186"/>
      <c r="C266" s="32"/>
      <c r="D266" s="32"/>
      <c r="E266" s="33"/>
      <c r="F266" s="33"/>
      <c r="G266" s="92"/>
      <c r="H266" s="45"/>
      <c r="I266" s="45"/>
      <c r="J266" s="33"/>
      <c r="K266" s="33"/>
      <c r="L266" s="33"/>
      <c r="M266" s="33"/>
      <c r="N266" s="33"/>
      <c r="O266" s="32"/>
      <c r="P266" s="35"/>
      <c r="Q266" s="285"/>
      <c r="R266" s="1"/>
      <c r="S266" s="1"/>
      <c r="T266" s="1"/>
      <c r="U266" s="1"/>
      <c r="V266" s="1"/>
      <c r="W266" s="1"/>
      <c r="X266" s="1"/>
      <c r="Y266" s="1"/>
    </row>
    <row r="267" spans="1:25" s="165" customFormat="1" ht="15.75" customHeight="1" hidden="1">
      <c r="A267" s="33"/>
      <c r="B267" s="186"/>
      <c r="C267" s="32"/>
      <c r="D267" s="32"/>
      <c r="E267" s="33"/>
      <c r="F267" s="33"/>
      <c r="G267" s="92"/>
      <c r="H267" s="45"/>
      <c r="I267" s="45"/>
      <c r="J267" s="33"/>
      <c r="K267" s="33"/>
      <c r="L267" s="33"/>
      <c r="M267" s="33"/>
      <c r="N267" s="33"/>
      <c r="O267" s="32"/>
      <c r="P267" s="35"/>
      <c r="Q267" s="285"/>
      <c r="R267" s="1"/>
      <c r="S267" s="1"/>
      <c r="T267" s="1"/>
      <c r="U267" s="1"/>
      <c r="V267" s="1"/>
      <c r="W267" s="1"/>
      <c r="X267" s="1"/>
      <c r="Y267" s="1"/>
    </row>
    <row r="268" spans="1:25" s="165" customFormat="1" ht="15.75" customHeight="1" hidden="1">
      <c r="A268" s="33"/>
      <c r="B268" s="186"/>
      <c r="C268" s="32"/>
      <c r="D268" s="32"/>
      <c r="E268" s="33"/>
      <c r="F268" s="33"/>
      <c r="G268" s="92"/>
      <c r="H268" s="45"/>
      <c r="I268" s="45"/>
      <c r="J268" s="33"/>
      <c r="K268" s="33"/>
      <c r="L268" s="33"/>
      <c r="M268" s="33"/>
      <c r="N268" s="33"/>
      <c r="O268" s="32"/>
      <c r="P268" s="35"/>
      <c r="Q268" s="285"/>
      <c r="R268" s="1"/>
      <c r="S268" s="1"/>
      <c r="T268" s="1"/>
      <c r="U268" s="1"/>
      <c r="V268" s="1"/>
      <c r="W268" s="1"/>
      <c r="X268" s="1"/>
      <c r="Y268" s="1"/>
    </row>
    <row r="269" spans="1:25" s="165" customFormat="1" ht="15.75" customHeight="1" hidden="1">
      <c r="A269" s="33"/>
      <c r="B269" s="186"/>
      <c r="C269" s="32"/>
      <c r="D269" s="32"/>
      <c r="E269" s="33"/>
      <c r="F269" s="33"/>
      <c r="G269" s="92"/>
      <c r="H269" s="45"/>
      <c r="I269" s="45"/>
      <c r="J269" s="33"/>
      <c r="K269" s="33"/>
      <c r="L269" s="33"/>
      <c r="M269" s="33"/>
      <c r="N269" s="33"/>
      <c r="O269" s="32"/>
      <c r="P269" s="35"/>
      <c r="Q269" s="285"/>
      <c r="R269" s="1"/>
      <c r="S269" s="1"/>
      <c r="T269" s="1"/>
      <c r="U269" s="1"/>
      <c r="V269" s="1"/>
      <c r="W269" s="1"/>
      <c r="X269" s="1"/>
      <c r="Y269" s="1"/>
    </row>
    <row r="270" spans="1:25" s="165" customFormat="1" ht="15.75" customHeight="1" hidden="1">
      <c r="A270" s="33"/>
      <c r="B270" s="186"/>
      <c r="C270" s="32"/>
      <c r="D270" s="32"/>
      <c r="E270" s="33"/>
      <c r="F270" s="33"/>
      <c r="G270" s="92"/>
      <c r="H270" s="45"/>
      <c r="I270" s="45"/>
      <c r="J270" s="33"/>
      <c r="K270" s="33"/>
      <c r="L270" s="33"/>
      <c r="M270" s="33"/>
      <c r="N270" s="33"/>
      <c r="O270" s="32"/>
      <c r="P270" s="35"/>
      <c r="Q270" s="285"/>
      <c r="R270" s="1"/>
      <c r="S270" s="1"/>
      <c r="T270" s="1"/>
      <c r="U270" s="1"/>
      <c r="V270" s="1"/>
      <c r="W270" s="1"/>
      <c r="X270" s="1"/>
      <c r="Y270" s="1"/>
    </row>
    <row r="271" spans="1:25" s="165" customFormat="1" ht="15.75" customHeight="1" hidden="1">
      <c r="A271" s="33"/>
      <c r="B271" s="186"/>
      <c r="C271" s="32"/>
      <c r="D271" s="32"/>
      <c r="E271" s="33"/>
      <c r="F271" s="33"/>
      <c r="G271" s="92"/>
      <c r="H271" s="45"/>
      <c r="I271" s="45"/>
      <c r="J271" s="33"/>
      <c r="K271" s="33"/>
      <c r="L271" s="33"/>
      <c r="M271" s="33"/>
      <c r="N271" s="33"/>
      <c r="O271" s="32"/>
      <c r="P271" s="35"/>
      <c r="Q271" s="285"/>
      <c r="R271" s="1"/>
      <c r="S271" s="1"/>
      <c r="T271" s="1"/>
      <c r="U271" s="1"/>
      <c r="V271" s="1"/>
      <c r="W271" s="1"/>
      <c r="X271" s="1"/>
      <c r="Y271" s="1"/>
    </row>
    <row r="272" spans="1:25" s="165" customFormat="1" ht="15.75" customHeight="1" hidden="1">
      <c r="A272" s="33"/>
      <c r="B272" s="186"/>
      <c r="C272" s="32"/>
      <c r="D272" s="32"/>
      <c r="E272" s="33"/>
      <c r="F272" s="33"/>
      <c r="G272" s="92"/>
      <c r="H272" s="45"/>
      <c r="I272" s="45"/>
      <c r="J272" s="33"/>
      <c r="K272" s="33"/>
      <c r="L272" s="33"/>
      <c r="M272" s="33"/>
      <c r="N272" s="33"/>
      <c r="O272" s="32"/>
      <c r="P272" s="35"/>
      <c r="Q272" s="285"/>
      <c r="R272" s="1"/>
      <c r="S272" s="1"/>
      <c r="T272" s="1"/>
      <c r="U272" s="1"/>
      <c r="V272" s="1"/>
      <c r="W272" s="1"/>
      <c r="X272" s="1"/>
      <c r="Y272" s="1"/>
    </row>
    <row r="273" spans="1:25" s="165" customFormat="1" ht="15.75" customHeight="1" hidden="1">
      <c r="A273" s="33"/>
      <c r="B273" s="186"/>
      <c r="C273" s="32"/>
      <c r="D273" s="32"/>
      <c r="E273" s="33"/>
      <c r="F273" s="33"/>
      <c r="G273" s="92"/>
      <c r="H273" s="45"/>
      <c r="I273" s="45"/>
      <c r="J273" s="33"/>
      <c r="K273" s="33"/>
      <c r="L273" s="33"/>
      <c r="M273" s="33"/>
      <c r="N273" s="33"/>
      <c r="O273" s="32"/>
      <c r="P273" s="35"/>
      <c r="Q273" s="285"/>
      <c r="R273" s="1"/>
      <c r="S273" s="1"/>
      <c r="T273" s="1"/>
      <c r="U273" s="1"/>
      <c r="V273" s="1"/>
      <c r="W273" s="1"/>
      <c r="X273" s="1"/>
      <c r="Y273" s="1"/>
    </row>
    <row r="274" spans="1:25" s="165" customFormat="1" ht="15.75" customHeight="1" hidden="1">
      <c r="A274" s="33"/>
      <c r="B274" s="186"/>
      <c r="C274" s="32"/>
      <c r="D274" s="32"/>
      <c r="E274" s="33"/>
      <c r="F274" s="33"/>
      <c r="G274" s="92"/>
      <c r="H274" s="45"/>
      <c r="I274" s="45"/>
      <c r="J274" s="33"/>
      <c r="K274" s="33"/>
      <c r="L274" s="33"/>
      <c r="M274" s="33"/>
      <c r="N274" s="33"/>
      <c r="O274" s="32"/>
      <c r="P274" s="35"/>
      <c r="Q274" s="285"/>
      <c r="R274" s="1"/>
      <c r="S274" s="1"/>
      <c r="T274" s="1"/>
      <c r="U274" s="1"/>
      <c r="V274" s="1"/>
      <c r="W274" s="1"/>
      <c r="X274" s="1"/>
      <c r="Y274" s="1"/>
    </row>
    <row r="275" spans="1:25" s="165" customFormat="1" ht="15.75" customHeight="1" hidden="1">
      <c r="A275" s="33"/>
      <c r="B275" s="186"/>
      <c r="C275" s="32"/>
      <c r="D275" s="32"/>
      <c r="E275" s="33"/>
      <c r="F275" s="33"/>
      <c r="G275" s="92"/>
      <c r="H275" s="45"/>
      <c r="I275" s="45"/>
      <c r="J275" s="33"/>
      <c r="K275" s="33"/>
      <c r="L275" s="33"/>
      <c r="M275" s="33"/>
      <c r="N275" s="33"/>
      <c r="O275" s="32"/>
      <c r="P275" s="35"/>
      <c r="Q275" s="285"/>
      <c r="R275" s="1"/>
      <c r="S275" s="1"/>
      <c r="T275" s="1"/>
      <c r="U275" s="1"/>
      <c r="V275" s="1"/>
      <c r="W275" s="1"/>
      <c r="X275" s="1"/>
      <c r="Y275" s="1"/>
    </row>
    <row r="276" spans="1:25" s="165" customFormat="1" ht="15.75" customHeight="1" hidden="1">
      <c r="A276" s="33"/>
      <c r="B276" s="186"/>
      <c r="C276" s="32"/>
      <c r="D276" s="32"/>
      <c r="E276" s="33"/>
      <c r="F276" s="33"/>
      <c r="G276" s="92"/>
      <c r="H276" s="45"/>
      <c r="I276" s="45"/>
      <c r="J276" s="33"/>
      <c r="K276" s="33"/>
      <c r="L276" s="33"/>
      <c r="M276" s="33"/>
      <c r="N276" s="33"/>
      <c r="O276" s="32"/>
      <c r="P276" s="35"/>
      <c r="Q276" s="285"/>
      <c r="R276" s="1"/>
      <c r="S276" s="1"/>
      <c r="T276" s="1"/>
      <c r="U276" s="1"/>
      <c r="V276" s="1"/>
      <c r="W276" s="1"/>
      <c r="X276" s="1"/>
      <c r="Y276" s="1"/>
    </row>
    <row r="277" spans="1:25" s="165" customFormat="1" ht="15.75" customHeight="1" hidden="1">
      <c r="A277" s="33"/>
      <c r="B277" s="186"/>
      <c r="C277" s="32"/>
      <c r="D277" s="32"/>
      <c r="E277" s="33"/>
      <c r="F277" s="33"/>
      <c r="G277" s="92"/>
      <c r="H277" s="45"/>
      <c r="I277" s="45"/>
      <c r="J277" s="33"/>
      <c r="K277" s="33"/>
      <c r="L277" s="33"/>
      <c r="M277" s="33"/>
      <c r="N277" s="33"/>
      <c r="O277" s="32"/>
      <c r="P277" s="35"/>
      <c r="Q277" s="285"/>
      <c r="R277" s="1"/>
      <c r="S277" s="1"/>
      <c r="T277" s="1"/>
      <c r="U277" s="1"/>
      <c r="V277" s="1"/>
      <c r="W277" s="1"/>
      <c r="X277" s="1"/>
      <c r="Y277" s="1"/>
    </row>
    <row r="278" spans="1:25" s="165" customFormat="1" ht="15.75" customHeight="1" hidden="1">
      <c r="A278" s="33"/>
      <c r="B278" s="186"/>
      <c r="C278" s="32"/>
      <c r="D278" s="32"/>
      <c r="E278" s="33"/>
      <c r="F278" s="33"/>
      <c r="G278" s="92"/>
      <c r="H278" s="45"/>
      <c r="I278" s="45"/>
      <c r="J278" s="33"/>
      <c r="K278" s="33"/>
      <c r="L278" s="33"/>
      <c r="M278" s="33"/>
      <c r="N278" s="33"/>
      <c r="O278" s="32"/>
      <c r="P278" s="35"/>
      <c r="Q278" s="285"/>
      <c r="R278" s="1"/>
      <c r="S278" s="1"/>
      <c r="T278" s="1"/>
      <c r="U278" s="1"/>
      <c r="V278" s="1"/>
      <c r="W278" s="1"/>
      <c r="X278" s="1"/>
      <c r="Y278" s="1"/>
    </row>
    <row r="279" spans="1:25" s="165" customFormat="1" ht="15.75" customHeight="1" hidden="1">
      <c r="A279" s="33"/>
      <c r="B279" s="186"/>
      <c r="C279" s="32"/>
      <c r="D279" s="32"/>
      <c r="E279" s="33"/>
      <c r="F279" s="33"/>
      <c r="G279" s="92"/>
      <c r="H279" s="45"/>
      <c r="I279" s="45"/>
      <c r="J279" s="33"/>
      <c r="K279" s="33"/>
      <c r="L279" s="33"/>
      <c r="M279" s="33"/>
      <c r="N279" s="33"/>
      <c r="O279" s="32"/>
      <c r="P279" s="35"/>
      <c r="Q279" s="285"/>
      <c r="R279" s="1"/>
      <c r="S279" s="1"/>
      <c r="T279" s="1"/>
      <c r="U279" s="1"/>
      <c r="V279" s="1"/>
      <c r="W279" s="1"/>
      <c r="X279" s="1"/>
      <c r="Y279" s="1"/>
    </row>
    <row r="280" spans="1:25" s="165" customFormat="1" ht="15.75" customHeight="1" hidden="1">
      <c r="A280" s="33"/>
      <c r="B280" s="186"/>
      <c r="C280" s="32"/>
      <c r="D280" s="32"/>
      <c r="E280" s="33"/>
      <c r="F280" s="33"/>
      <c r="G280" s="92"/>
      <c r="H280" s="45"/>
      <c r="I280" s="45"/>
      <c r="J280" s="33"/>
      <c r="K280" s="33"/>
      <c r="L280" s="33"/>
      <c r="M280" s="33"/>
      <c r="N280" s="33"/>
      <c r="O280" s="32"/>
      <c r="P280" s="35"/>
      <c r="Q280" s="285"/>
      <c r="R280" s="1"/>
      <c r="S280" s="1"/>
      <c r="T280" s="1"/>
      <c r="U280" s="1"/>
      <c r="V280" s="1"/>
      <c r="W280" s="1"/>
      <c r="X280" s="1"/>
      <c r="Y280" s="1"/>
    </row>
    <row r="281" spans="1:25" s="165" customFormat="1" ht="210.75" customHeight="1" hidden="1">
      <c r="A281" s="33"/>
      <c r="B281" s="186"/>
      <c r="C281" s="32"/>
      <c r="D281" s="32"/>
      <c r="E281" s="33"/>
      <c r="F281" s="33"/>
      <c r="G281" s="92"/>
      <c r="H281" s="45"/>
      <c r="I281" s="45"/>
      <c r="J281" s="33"/>
      <c r="K281" s="33"/>
      <c r="L281" s="33"/>
      <c r="M281" s="33"/>
      <c r="N281" s="33"/>
      <c r="O281" s="32"/>
      <c r="P281" s="35"/>
      <c r="Q281" s="285"/>
      <c r="R281" s="1"/>
      <c r="S281" s="1"/>
      <c r="T281" s="1"/>
      <c r="U281" s="1"/>
      <c r="V281" s="1"/>
      <c r="W281" s="1"/>
      <c r="X281" s="1"/>
      <c r="Y281" s="1"/>
    </row>
    <row r="282" spans="1:25" s="165" customFormat="1" ht="210.75" customHeight="1" hidden="1">
      <c r="A282" s="33"/>
      <c r="B282" s="186"/>
      <c r="C282" s="32"/>
      <c r="D282" s="32"/>
      <c r="E282" s="33"/>
      <c r="F282" s="33"/>
      <c r="G282" s="92"/>
      <c r="H282" s="45"/>
      <c r="I282" s="45"/>
      <c r="J282" s="33"/>
      <c r="K282" s="33"/>
      <c r="L282" s="33"/>
      <c r="M282" s="33"/>
      <c r="N282" s="33"/>
      <c r="O282" s="32"/>
      <c r="P282" s="35"/>
      <c r="Q282" s="285"/>
      <c r="R282" s="1"/>
      <c r="S282" s="1"/>
      <c r="T282" s="1"/>
      <c r="U282" s="1"/>
      <c r="V282" s="1"/>
      <c r="W282" s="1"/>
      <c r="X282" s="1"/>
      <c r="Y282" s="1"/>
    </row>
    <row r="283" spans="1:25" s="165" customFormat="1" ht="34.5" customHeight="1" hidden="1">
      <c r="A283" s="33"/>
      <c r="B283" s="186"/>
      <c r="C283" s="32"/>
      <c r="D283" s="32"/>
      <c r="E283" s="33"/>
      <c r="F283" s="33"/>
      <c r="G283" s="92"/>
      <c r="H283" s="45"/>
      <c r="I283" s="45"/>
      <c r="J283" s="33"/>
      <c r="K283" s="33"/>
      <c r="L283" s="33"/>
      <c r="M283" s="33"/>
      <c r="N283" s="33"/>
      <c r="O283" s="32"/>
      <c r="P283" s="35"/>
      <c r="Q283" s="285"/>
      <c r="R283" s="1"/>
      <c r="S283" s="1"/>
      <c r="T283" s="1"/>
      <c r="U283" s="1"/>
      <c r="V283" s="1"/>
      <c r="W283" s="1"/>
      <c r="X283" s="1"/>
      <c r="Y283" s="1"/>
    </row>
    <row r="284" spans="1:25" s="165" customFormat="1" ht="47.25" customHeight="1" hidden="1">
      <c r="A284" s="33"/>
      <c r="B284" s="186"/>
      <c r="C284" s="32"/>
      <c r="D284" s="32"/>
      <c r="E284" s="33"/>
      <c r="F284" s="33"/>
      <c r="G284" s="92"/>
      <c r="H284" s="45"/>
      <c r="I284" s="45"/>
      <c r="J284" s="33"/>
      <c r="K284" s="33"/>
      <c r="L284" s="33"/>
      <c r="M284" s="33"/>
      <c r="N284" s="33"/>
      <c r="O284" s="32"/>
      <c r="P284" s="35"/>
      <c r="Q284" s="285"/>
      <c r="R284" s="1"/>
      <c r="S284" s="1"/>
      <c r="T284" s="1"/>
      <c r="U284" s="1"/>
      <c r="V284" s="1"/>
      <c r="W284" s="1"/>
      <c r="X284" s="1"/>
      <c r="Y284" s="1"/>
    </row>
    <row r="285" spans="1:25" s="165" customFormat="1" ht="42.75" customHeight="1" hidden="1">
      <c r="A285" s="33"/>
      <c r="B285" s="186"/>
      <c r="C285" s="32"/>
      <c r="D285" s="32"/>
      <c r="E285" s="33"/>
      <c r="F285" s="33"/>
      <c r="G285" s="92"/>
      <c r="H285" s="45"/>
      <c r="I285" s="45"/>
      <c r="J285" s="33"/>
      <c r="K285" s="33"/>
      <c r="L285" s="33"/>
      <c r="M285" s="33"/>
      <c r="N285" s="33"/>
      <c r="O285" s="32"/>
      <c r="P285" s="35"/>
      <c r="Q285" s="285"/>
      <c r="R285" s="1"/>
      <c r="S285" s="1"/>
      <c r="T285" s="1"/>
      <c r="U285" s="1"/>
      <c r="V285" s="1"/>
      <c r="W285" s="1"/>
      <c r="X285" s="1"/>
      <c r="Y285" s="1"/>
    </row>
    <row r="286" spans="1:25" s="165" customFormat="1" ht="67.5" customHeight="1" hidden="1">
      <c r="A286" s="33"/>
      <c r="B286" s="186"/>
      <c r="C286" s="32"/>
      <c r="D286" s="32"/>
      <c r="E286" s="33"/>
      <c r="F286" s="33"/>
      <c r="G286" s="92"/>
      <c r="H286" s="45"/>
      <c r="I286" s="45"/>
      <c r="J286" s="33"/>
      <c r="K286" s="33"/>
      <c r="L286" s="33"/>
      <c r="M286" s="33"/>
      <c r="N286" s="33"/>
      <c r="O286" s="32"/>
      <c r="P286" s="35"/>
      <c r="Q286" s="285"/>
      <c r="R286" s="1"/>
      <c r="S286" s="1"/>
      <c r="T286" s="1"/>
      <c r="U286" s="1"/>
      <c r="V286" s="1"/>
      <c r="W286" s="1"/>
      <c r="X286" s="1"/>
      <c r="Y286" s="1"/>
    </row>
    <row r="287" spans="1:25" s="165" customFormat="1" ht="60" customHeight="1" hidden="1">
      <c r="A287" s="33"/>
      <c r="B287" s="186"/>
      <c r="C287" s="32"/>
      <c r="D287" s="32"/>
      <c r="E287" s="33"/>
      <c r="F287" s="34"/>
      <c r="G287" s="92"/>
      <c r="H287" s="101"/>
      <c r="I287" s="101"/>
      <c r="J287" s="33"/>
      <c r="K287" s="33"/>
      <c r="L287" s="33"/>
      <c r="M287" s="33"/>
      <c r="N287" s="33"/>
      <c r="O287" s="32"/>
      <c r="P287" s="35"/>
      <c r="Q287" s="285"/>
      <c r="R287" s="1"/>
      <c r="S287" s="1"/>
      <c r="T287" s="1"/>
      <c r="U287" s="1"/>
      <c r="V287" s="1"/>
      <c r="W287" s="1"/>
      <c r="X287" s="1"/>
      <c r="Y287" s="1"/>
    </row>
    <row r="288" spans="1:25" s="165" customFormat="1" ht="30" customHeight="1" hidden="1">
      <c r="A288" s="33"/>
      <c r="B288" s="186"/>
      <c r="C288" s="32"/>
      <c r="D288" s="32"/>
      <c r="E288" s="33"/>
      <c r="F288" s="34"/>
      <c r="G288" s="92"/>
      <c r="H288" s="101"/>
      <c r="I288" s="101"/>
      <c r="J288" s="33"/>
      <c r="K288" s="33"/>
      <c r="L288" s="33"/>
      <c r="M288" s="33"/>
      <c r="N288" s="33"/>
      <c r="O288" s="32"/>
      <c r="P288" s="35"/>
      <c r="Q288" s="285"/>
      <c r="R288" s="1"/>
      <c r="S288" s="1"/>
      <c r="T288" s="1"/>
      <c r="U288" s="1"/>
      <c r="V288" s="1"/>
      <c r="W288" s="1"/>
      <c r="X288" s="1"/>
      <c r="Y288" s="1"/>
    </row>
    <row r="289" spans="1:25" s="165" customFormat="1" ht="78" customHeight="1" hidden="1">
      <c r="A289" s="33"/>
      <c r="B289" s="186"/>
      <c r="C289" s="32"/>
      <c r="D289" s="32"/>
      <c r="E289" s="33"/>
      <c r="F289" s="34"/>
      <c r="G289" s="92"/>
      <c r="H289" s="101"/>
      <c r="I289" s="101"/>
      <c r="J289" s="33"/>
      <c r="K289" s="33"/>
      <c r="L289" s="33"/>
      <c r="M289" s="33"/>
      <c r="N289" s="100"/>
      <c r="O289" s="32"/>
      <c r="P289" s="103"/>
      <c r="Q289" s="285"/>
      <c r="R289" s="1"/>
      <c r="S289" s="1"/>
      <c r="T289" s="1"/>
      <c r="U289" s="1"/>
      <c r="V289" s="1"/>
      <c r="W289" s="1"/>
      <c r="X289" s="1"/>
      <c r="Y289" s="1"/>
    </row>
    <row r="290" spans="1:25" s="165" customFormat="1" ht="115.5" customHeight="1" hidden="1">
      <c r="A290" s="33"/>
      <c r="B290" s="186"/>
      <c r="C290" s="32"/>
      <c r="D290" s="32"/>
      <c r="E290" s="33"/>
      <c r="F290" s="34"/>
      <c r="G290" s="92"/>
      <c r="H290" s="101"/>
      <c r="I290" s="101"/>
      <c r="J290" s="214"/>
      <c r="K290" s="214"/>
      <c r="L290" s="214"/>
      <c r="M290" s="214"/>
      <c r="N290" s="100"/>
      <c r="O290" s="32"/>
      <c r="P290" s="103"/>
      <c r="Q290" s="285"/>
      <c r="R290" s="1"/>
      <c r="S290" s="1"/>
      <c r="T290" s="1"/>
      <c r="U290" s="1"/>
      <c r="V290" s="1"/>
      <c r="W290" s="1"/>
      <c r="X290" s="1"/>
      <c r="Y290" s="1"/>
    </row>
    <row r="291" ht="15.75" hidden="1"/>
    <row r="292" ht="15.75" hidden="1"/>
    <row r="293" ht="15.75" hidden="1"/>
    <row r="294" ht="15.75" hidden="1"/>
    <row r="295" ht="15.75" hidden="1"/>
    <row r="296" ht="15.75" hidden="1"/>
    <row r="297" ht="15.75" hidden="1"/>
    <row r="298" ht="15.75" hidden="1"/>
    <row r="299" ht="15.75" hidden="1"/>
    <row r="300" ht="15.75" hidden="1"/>
    <row r="301" ht="15.75" hidden="1"/>
    <row r="302" ht="15.75" hidden="1"/>
    <row r="303" ht="15.75" hidden="1"/>
    <row r="304" ht="15.75" hidden="1"/>
    <row r="305" ht="15.75" hidden="1"/>
    <row r="306" ht="15.75" hidden="1"/>
    <row r="307" ht="15.75" hidden="1"/>
    <row r="308" ht="15.75" hidden="1"/>
    <row r="309" ht="15.75" hidden="1"/>
    <row r="310" ht="15.75" hidden="1"/>
    <row r="311" ht="15.75" hidden="1"/>
    <row r="312" ht="15.75" hidden="1"/>
    <row r="313" ht="15.75" hidden="1"/>
    <row r="314" ht="15.75" hidden="1"/>
    <row r="315" ht="15.75" hidden="1"/>
    <row r="316" ht="15.75" hidden="1"/>
    <row r="317" ht="15.75" hidden="1"/>
    <row r="318" ht="15.75" hidden="1"/>
    <row r="319" ht="15.75" hidden="1"/>
    <row r="320" ht="15.75" hidden="1"/>
    <row r="321" ht="15.75" hidden="1"/>
    <row r="322" ht="15.75" hidden="1"/>
    <row r="323" ht="15.75" hidden="1"/>
    <row r="324" ht="15.75" hidden="1"/>
    <row r="325" ht="15.75" hidden="1"/>
    <row r="326" ht="15.75" hidden="1"/>
    <row r="327" ht="15.75" hidden="1"/>
    <row r="328" ht="15.75" hidden="1"/>
    <row r="329" ht="15.75" hidden="1"/>
    <row r="422" spans="1:25" s="32" customFormat="1" ht="15.75">
      <c r="A422" s="33"/>
      <c r="B422" s="186"/>
      <c r="E422" s="33"/>
      <c r="F422" s="34"/>
      <c r="G422" s="92"/>
      <c r="H422" s="101"/>
      <c r="I422" s="101"/>
      <c r="J422" s="214"/>
      <c r="K422" s="214"/>
      <c r="L422" s="214"/>
      <c r="M422" s="214"/>
      <c r="N422" s="100">
        <f>SUM(N10:N139)</f>
        <v>129465536</v>
      </c>
      <c r="P422" s="103"/>
      <c r="Q422" s="285"/>
      <c r="R422" s="1"/>
      <c r="S422" s="1"/>
      <c r="T422" s="1"/>
      <c r="U422" s="1"/>
      <c r="V422" s="1"/>
      <c r="W422" s="1"/>
      <c r="X422" s="1"/>
      <c r="Y422" s="1"/>
    </row>
    <row r="423" spans="1:25" s="32" customFormat="1" ht="15.75">
      <c r="A423" s="33"/>
      <c r="B423" s="186"/>
      <c r="E423" s="33"/>
      <c r="F423" s="34"/>
      <c r="G423" s="92"/>
      <c r="H423" s="101"/>
      <c r="I423" s="101"/>
      <c r="J423" s="214">
        <f>SUM(J10:J139)</f>
        <v>189250142</v>
      </c>
      <c r="K423" s="214"/>
      <c r="L423" s="214"/>
      <c r="M423" s="214"/>
      <c r="N423" s="100">
        <f>N140-N422</f>
        <v>0</v>
      </c>
      <c r="P423" s="103"/>
      <c r="Q423" s="285"/>
      <c r="R423" s="1"/>
      <c r="S423" s="1"/>
      <c r="T423" s="1"/>
      <c r="U423" s="1"/>
      <c r="V423" s="1"/>
      <c r="W423" s="1"/>
      <c r="X423" s="1"/>
      <c r="Y423" s="1"/>
    </row>
    <row r="424" spans="1:25" s="32" customFormat="1" ht="15.75">
      <c r="A424" s="33"/>
      <c r="B424" s="186"/>
      <c r="E424" s="33"/>
      <c r="F424" s="34"/>
      <c r="G424" s="92"/>
      <c r="H424" s="101"/>
      <c r="I424" s="101"/>
      <c r="J424" s="214">
        <f>J140-J423</f>
        <v>0</v>
      </c>
      <c r="K424" s="214"/>
      <c r="L424" s="214"/>
      <c r="M424" s="214"/>
      <c r="N424" s="100"/>
      <c r="P424" s="103"/>
      <c r="Q424" s="285"/>
      <c r="R424" s="1"/>
      <c r="S424" s="1"/>
      <c r="T424" s="1"/>
      <c r="U424" s="1"/>
      <c r="V424" s="1"/>
      <c r="W424" s="1"/>
      <c r="X424" s="1"/>
      <c r="Y424" s="1"/>
    </row>
    <row r="429" spans="1:25" s="32" customFormat="1" ht="12.75" customHeight="1">
      <c r="A429" s="33"/>
      <c r="B429" s="186"/>
      <c r="E429" s="33"/>
      <c r="F429" s="34"/>
      <c r="G429" s="92"/>
      <c r="H429" s="101"/>
      <c r="I429" s="101"/>
      <c r="J429" s="214"/>
      <c r="K429" s="214"/>
      <c r="L429" s="214"/>
      <c r="M429" s="214"/>
      <c r="N429" s="100"/>
      <c r="P429" s="103"/>
      <c r="Q429" s="285"/>
      <c r="R429" s="1"/>
      <c r="S429" s="1"/>
      <c r="T429" s="1"/>
      <c r="U429" s="1"/>
      <c r="V429" s="1"/>
      <c r="W429" s="1"/>
      <c r="X429" s="1"/>
      <c r="Y429" s="1"/>
    </row>
  </sheetData>
  <sheetProtection selectLockedCells="1" selectUnlockedCells="1"/>
  <mergeCells count="30">
    <mergeCell ref="R185:T185"/>
    <mergeCell ref="A140:B140"/>
    <mergeCell ref="Q183:R183"/>
    <mergeCell ref="S183:T183"/>
    <mergeCell ref="D7:D8"/>
    <mergeCell ref="E7:E8"/>
    <mergeCell ref="F7:F8"/>
    <mergeCell ref="B160:M160"/>
    <mergeCell ref="O184:O185"/>
    <mergeCell ref="P184:P185"/>
    <mergeCell ref="H7:H8"/>
    <mergeCell ref="N7:N8"/>
    <mergeCell ref="L7:L8"/>
    <mergeCell ref="M7:M8"/>
    <mergeCell ref="A153:R153"/>
    <mergeCell ref="A154:R154"/>
    <mergeCell ref="A148:J148"/>
    <mergeCell ref="A149:J149"/>
    <mergeCell ref="A150:J150"/>
    <mergeCell ref="G7:G8"/>
    <mergeCell ref="A3:Q3"/>
    <mergeCell ref="A4:Q4"/>
    <mergeCell ref="A7:A8"/>
    <mergeCell ref="B7:B8"/>
    <mergeCell ref="C7:C8"/>
    <mergeCell ref="P7:Q7"/>
    <mergeCell ref="O7:O8"/>
    <mergeCell ref="I7:I8"/>
    <mergeCell ref="J7:J8"/>
    <mergeCell ref="K7:K8"/>
  </mergeCells>
  <printOptions horizontalCentered="1"/>
  <pageMargins left="0.2362204724409449" right="0.2362204724409449" top="0.7480314960629921" bottom="0.7480314960629921" header="0.31496062992125984" footer="0.31496062992125984"/>
  <pageSetup firstPageNumber="1" useFirstPageNumber="1" fitToHeight="0" fitToWidth="1" horizontalDpi="600" verticalDpi="600" orientation="landscape" paperSize="9" scale="39" r:id="rId4"/>
  <headerFooter alignWithMargins="0">
    <oddFooter>&amp;C&amp;P</oddFooter>
  </headerFooter>
  <drawing r:id="rId3"/>
  <legacyDrawing r:id="rId2"/>
</worksheet>
</file>

<file path=xl/worksheets/sheet2.xml><?xml version="1.0" encoding="utf-8"?>
<worksheet xmlns="http://schemas.openxmlformats.org/spreadsheetml/2006/main" xmlns:r="http://schemas.openxmlformats.org/officeDocument/2006/relationships">
  <dimension ref="A1:R135"/>
  <sheetViews>
    <sheetView view="pageBreakPreview" zoomScale="60" zoomScalePageLayoutView="0" workbookViewId="0" topLeftCell="C12">
      <selection activeCell="W12" sqref="W12"/>
    </sheetView>
  </sheetViews>
  <sheetFormatPr defaultColWidth="9.140625" defaultRowHeight="12.75"/>
  <cols>
    <col min="1" max="1" width="5.00390625" style="311" customWidth="1"/>
    <col min="2" max="2" width="54.7109375" style="313" customWidth="1"/>
    <col min="3" max="3" width="10.00390625" style="312" customWidth="1"/>
    <col min="4" max="4" width="11.8515625" style="312" customWidth="1"/>
    <col min="5" max="5" width="11.00390625" style="312" customWidth="1"/>
    <col min="6" max="6" width="9.7109375" style="312" customWidth="1"/>
    <col min="7" max="7" width="12.8515625" style="312" customWidth="1"/>
    <col min="8" max="8" width="11.421875" style="312" customWidth="1"/>
    <col min="9" max="9" width="11.57421875" style="312" customWidth="1"/>
    <col min="10" max="10" width="17.140625" style="312" customWidth="1"/>
    <col min="11" max="12" width="13.421875" style="312" hidden="1" customWidth="1"/>
    <col min="13" max="13" width="14.57421875" style="312" customWidth="1"/>
    <col min="14" max="14" width="22.00390625" style="312" customWidth="1"/>
    <col min="15" max="15" width="17.421875" style="312" hidden="1" customWidth="1"/>
    <col min="16" max="16" width="65.140625" style="313" customWidth="1"/>
    <col min="17" max="16384" width="9.140625" style="137" customWidth="1"/>
  </cols>
  <sheetData>
    <row r="1" spans="2:16" ht="20.25">
      <c r="B1" s="416" t="s">
        <v>445</v>
      </c>
      <c r="P1" s="310" t="s">
        <v>449</v>
      </c>
    </row>
    <row r="3" spans="1:18" ht="19.5">
      <c r="A3" s="427" t="s">
        <v>271</v>
      </c>
      <c r="B3" s="427"/>
      <c r="C3" s="427"/>
      <c r="D3" s="427"/>
      <c r="E3" s="427"/>
      <c r="F3" s="427"/>
      <c r="G3" s="427"/>
      <c r="H3" s="427"/>
      <c r="I3" s="427"/>
      <c r="J3" s="427"/>
      <c r="K3" s="427"/>
      <c r="L3" s="427"/>
      <c r="M3" s="427"/>
      <c r="N3" s="427"/>
      <c r="O3" s="427"/>
      <c r="P3" s="427"/>
      <c r="Q3" s="427"/>
      <c r="R3" s="427"/>
    </row>
    <row r="4" spans="1:18" ht="19.5">
      <c r="A4" s="427" t="s">
        <v>273</v>
      </c>
      <c r="B4" s="427"/>
      <c r="C4" s="427"/>
      <c r="D4" s="427"/>
      <c r="E4" s="427"/>
      <c r="F4" s="427"/>
      <c r="G4" s="427"/>
      <c r="H4" s="427"/>
      <c r="I4" s="427"/>
      <c r="J4" s="427"/>
      <c r="K4" s="427"/>
      <c r="L4" s="427"/>
      <c r="M4" s="427"/>
      <c r="N4" s="427"/>
      <c r="O4" s="427"/>
      <c r="P4" s="427"/>
      <c r="Q4" s="427"/>
      <c r="R4" s="427"/>
    </row>
    <row r="5" ht="16.5" thickBot="1"/>
    <row r="6" spans="1:16" ht="15.75">
      <c r="A6" s="464" t="s">
        <v>0</v>
      </c>
      <c r="B6" s="466" t="s">
        <v>1</v>
      </c>
      <c r="C6" s="468" t="s">
        <v>2</v>
      </c>
      <c r="D6" s="470" t="s">
        <v>209</v>
      </c>
      <c r="E6" s="468" t="s">
        <v>3</v>
      </c>
      <c r="F6" s="472" t="s">
        <v>4</v>
      </c>
      <c r="G6" s="474" t="s">
        <v>5</v>
      </c>
      <c r="H6" s="476" t="s">
        <v>268</v>
      </c>
      <c r="I6" s="476" t="s">
        <v>275</v>
      </c>
      <c r="J6" s="478" t="s">
        <v>446</v>
      </c>
      <c r="K6" s="480" t="s">
        <v>335</v>
      </c>
      <c r="L6" s="314"/>
      <c r="M6" s="482" t="s">
        <v>326</v>
      </c>
      <c r="N6" s="468" t="s">
        <v>269</v>
      </c>
      <c r="O6" s="462" t="s">
        <v>96</v>
      </c>
      <c r="P6" s="463"/>
    </row>
    <row r="7" spans="1:16" ht="63.75" thickBot="1">
      <c r="A7" s="465"/>
      <c r="B7" s="467"/>
      <c r="C7" s="469"/>
      <c r="D7" s="471"/>
      <c r="E7" s="469"/>
      <c r="F7" s="473"/>
      <c r="G7" s="475"/>
      <c r="H7" s="477"/>
      <c r="I7" s="477"/>
      <c r="J7" s="479"/>
      <c r="K7" s="481"/>
      <c r="L7" s="315" t="s">
        <v>325</v>
      </c>
      <c r="M7" s="483"/>
      <c r="N7" s="469"/>
      <c r="O7" s="316" t="s">
        <v>274</v>
      </c>
      <c r="P7" s="317" t="s">
        <v>126</v>
      </c>
    </row>
    <row r="8" spans="1:16" ht="15.75">
      <c r="A8" s="318">
        <v>0</v>
      </c>
      <c r="B8" s="417">
        <v>1</v>
      </c>
      <c r="C8" s="319">
        <v>2</v>
      </c>
      <c r="D8" s="319">
        <v>3</v>
      </c>
      <c r="E8" s="319">
        <v>4</v>
      </c>
      <c r="F8" s="320">
        <v>5</v>
      </c>
      <c r="G8" s="320">
        <v>6</v>
      </c>
      <c r="H8" s="320">
        <v>7</v>
      </c>
      <c r="I8" s="320">
        <v>8</v>
      </c>
      <c r="J8" s="321">
        <v>9</v>
      </c>
      <c r="K8" s="321"/>
      <c r="L8" s="321"/>
      <c r="M8" s="322">
        <v>10</v>
      </c>
      <c r="N8" s="320">
        <v>11</v>
      </c>
      <c r="O8" s="323">
        <v>12</v>
      </c>
      <c r="P8" s="324">
        <v>12</v>
      </c>
    </row>
    <row r="9" spans="1:16" s="157" customFormat="1" ht="31.5">
      <c r="A9" s="325">
        <v>1</v>
      </c>
      <c r="B9" s="418" t="s">
        <v>141</v>
      </c>
      <c r="C9" s="327" t="s">
        <v>289</v>
      </c>
      <c r="D9" s="328" t="s">
        <v>165</v>
      </c>
      <c r="E9" s="328" t="s">
        <v>8</v>
      </c>
      <c r="F9" s="329">
        <v>977</v>
      </c>
      <c r="G9" s="330">
        <v>98</v>
      </c>
      <c r="H9" s="331">
        <v>1</v>
      </c>
      <c r="I9" s="332">
        <v>0.4364</v>
      </c>
      <c r="J9" s="333">
        <v>151647</v>
      </c>
      <c r="K9" s="333">
        <v>65952</v>
      </c>
      <c r="L9" s="333">
        <v>349</v>
      </c>
      <c r="M9" s="333">
        <f>J9-K9-L9</f>
        <v>85346</v>
      </c>
      <c r="N9" s="327" t="s">
        <v>368</v>
      </c>
      <c r="O9" s="334">
        <v>38320000</v>
      </c>
      <c r="P9" s="335" t="s">
        <v>211</v>
      </c>
    </row>
    <row r="10" spans="1:16" s="157" customFormat="1" ht="31.5">
      <c r="A10" s="325">
        <v>2</v>
      </c>
      <c r="B10" s="419" t="s">
        <v>41</v>
      </c>
      <c r="C10" s="327" t="s">
        <v>289</v>
      </c>
      <c r="D10" s="336" t="s">
        <v>165</v>
      </c>
      <c r="E10" s="336" t="s">
        <v>8</v>
      </c>
      <c r="F10" s="337">
        <v>818</v>
      </c>
      <c r="G10" s="338">
        <v>98</v>
      </c>
      <c r="H10" s="332">
        <v>1</v>
      </c>
      <c r="I10" s="332">
        <v>0.5565</v>
      </c>
      <c r="J10" s="339">
        <v>157648</v>
      </c>
      <c r="K10" s="339">
        <v>87736</v>
      </c>
      <c r="L10" s="339">
        <v>0</v>
      </c>
      <c r="M10" s="333">
        <f aca="true" t="shared" si="0" ref="M10:M55">J10-K10-L10</f>
        <v>69912</v>
      </c>
      <c r="N10" s="340" t="s">
        <v>376</v>
      </c>
      <c r="O10" s="341">
        <v>21548000</v>
      </c>
      <c r="P10" s="335" t="s">
        <v>211</v>
      </c>
    </row>
    <row r="11" spans="1:16" s="157" customFormat="1" ht="94.5">
      <c r="A11" s="325">
        <v>3</v>
      </c>
      <c r="B11" s="419" t="s">
        <v>23</v>
      </c>
      <c r="C11" s="327" t="s">
        <v>289</v>
      </c>
      <c r="D11" s="328" t="s">
        <v>165</v>
      </c>
      <c r="E11" s="342" t="s">
        <v>8</v>
      </c>
      <c r="F11" s="337">
        <v>393</v>
      </c>
      <c r="G11" s="338">
        <v>91.5</v>
      </c>
      <c r="H11" s="343">
        <v>1</v>
      </c>
      <c r="I11" s="344">
        <v>0.6069</v>
      </c>
      <c r="J11" s="345">
        <v>433376</v>
      </c>
      <c r="K11" s="345">
        <v>262996</v>
      </c>
      <c r="L11" s="345">
        <v>1200</v>
      </c>
      <c r="M11" s="345">
        <f t="shared" si="0"/>
        <v>169180</v>
      </c>
      <c r="N11" s="328" t="s">
        <v>377</v>
      </c>
      <c r="O11" s="334">
        <v>226396642</v>
      </c>
      <c r="P11" s="335" t="s">
        <v>401</v>
      </c>
    </row>
    <row r="12" spans="1:16" s="157" customFormat="1" ht="141.75">
      <c r="A12" s="325">
        <v>4</v>
      </c>
      <c r="B12" s="418" t="s">
        <v>149</v>
      </c>
      <c r="C12" s="327" t="s">
        <v>289</v>
      </c>
      <c r="D12" s="328" t="s">
        <v>167</v>
      </c>
      <c r="E12" s="328" t="s">
        <v>8</v>
      </c>
      <c r="F12" s="329">
        <v>347</v>
      </c>
      <c r="G12" s="330">
        <v>91.5</v>
      </c>
      <c r="H12" s="332">
        <v>1</v>
      </c>
      <c r="I12" s="332">
        <v>0.9808</v>
      </c>
      <c r="J12" s="333">
        <v>177506</v>
      </c>
      <c r="K12" s="333">
        <v>174091</v>
      </c>
      <c r="L12" s="333">
        <v>387</v>
      </c>
      <c r="M12" s="333">
        <v>0</v>
      </c>
      <c r="N12" s="346" t="s">
        <v>175</v>
      </c>
      <c r="O12" s="334">
        <v>32870000</v>
      </c>
      <c r="P12" s="347" t="s">
        <v>442</v>
      </c>
    </row>
    <row r="13" spans="1:16" s="157" customFormat="1" ht="47.25">
      <c r="A13" s="325">
        <v>5</v>
      </c>
      <c r="B13" s="420" t="s">
        <v>236</v>
      </c>
      <c r="C13" s="327" t="s">
        <v>289</v>
      </c>
      <c r="D13" s="328" t="s">
        <v>167</v>
      </c>
      <c r="E13" s="328" t="s">
        <v>8</v>
      </c>
      <c r="F13" s="348">
        <v>1055</v>
      </c>
      <c r="G13" s="338">
        <v>89.5</v>
      </c>
      <c r="H13" s="349">
        <v>1</v>
      </c>
      <c r="I13" s="349">
        <v>0.8909</v>
      </c>
      <c r="J13" s="339">
        <v>781612</v>
      </c>
      <c r="K13" s="339">
        <v>696357</v>
      </c>
      <c r="L13" s="339">
        <v>33700</v>
      </c>
      <c r="M13" s="333">
        <f t="shared" si="0"/>
        <v>51555</v>
      </c>
      <c r="N13" s="350">
        <v>2021</v>
      </c>
      <c r="O13" s="341">
        <v>608800000</v>
      </c>
      <c r="P13" s="347" t="s">
        <v>356</v>
      </c>
    </row>
    <row r="14" spans="1:16" s="157" customFormat="1" ht="70.5" customHeight="1">
      <c r="A14" s="325">
        <v>6</v>
      </c>
      <c r="B14" s="418" t="s">
        <v>152</v>
      </c>
      <c r="C14" s="327" t="s">
        <v>289</v>
      </c>
      <c r="D14" s="328" t="s">
        <v>167</v>
      </c>
      <c r="E14" s="328" t="s">
        <v>8</v>
      </c>
      <c r="F14" s="329">
        <v>975</v>
      </c>
      <c r="G14" s="330">
        <v>89.5</v>
      </c>
      <c r="H14" s="349">
        <v>1</v>
      </c>
      <c r="I14" s="332">
        <v>0.9674</v>
      </c>
      <c r="J14" s="333">
        <v>221506</v>
      </c>
      <c r="K14" s="333">
        <v>214286</v>
      </c>
      <c r="L14" s="333">
        <v>1742</v>
      </c>
      <c r="M14" s="333">
        <f t="shared" si="0"/>
        <v>5478</v>
      </c>
      <c r="N14" s="346" t="s">
        <v>175</v>
      </c>
      <c r="O14" s="341">
        <v>163300000</v>
      </c>
      <c r="P14" s="347" t="s">
        <v>355</v>
      </c>
    </row>
    <row r="15" spans="1:16" s="157" customFormat="1" ht="141.75" customHeight="1">
      <c r="A15" s="325">
        <v>7</v>
      </c>
      <c r="B15" s="421" t="s">
        <v>182</v>
      </c>
      <c r="C15" s="327" t="s">
        <v>239</v>
      </c>
      <c r="D15" s="328" t="s">
        <v>190</v>
      </c>
      <c r="E15" s="328" t="s">
        <v>8</v>
      </c>
      <c r="F15" s="329">
        <v>283</v>
      </c>
      <c r="G15" s="330">
        <v>88</v>
      </c>
      <c r="H15" s="331">
        <v>1</v>
      </c>
      <c r="I15" s="332">
        <v>0.99</v>
      </c>
      <c r="J15" s="333">
        <v>233538</v>
      </c>
      <c r="K15" s="333">
        <v>131195</v>
      </c>
      <c r="L15" s="333">
        <v>0</v>
      </c>
      <c r="M15" s="333">
        <f t="shared" si="0"/>
        <v>102343</v>
      </c>
      <c r="N15" s="346" t="s">
        <v>170</v>
      </c>
      <c r="O15" s="334">
        <v>30300420</v>
      </c>
      <c r="P15" s="351" t="s">
        <v>352</v>
      </c>
    </row>
    <row r="16" spans="1:16" s="157" customFormat="1" ht="31.5">
      <c r="A16" s="325">
        <v>8</v>
      </c>
      <c r="B16" s="422" t="s">
        <v>242</v>
      </c>
      <c r="C16" s="105" t="s">
        <v>289</v>
      </c>
      <c r="D16" s="352" t="s">
        <v>165</v>
      </c>
      <c r="E16" s="353" t="s">
        <v>8</v>
      </c>
      <c r="F16" s="354">
        <v>814</v>
      </c>
      <c r="G16" s="338">
        <v>86.5</v>
      </c>
      <c r="H16" s="355">
        <v>1</v>
      </c>
      <c r="I16" s="356">
        <v>0.7712</v>
      </c>
      <c r="J16" s="245">
        <v>189341</v>
      </c>
      <c r="K16" s="245">
        <v>138327</v>
      </c>
      <c r="L16" s="245">
        <v>11228</v>
      </c>
      <c r="M16" s="333">
        <f t="shared" si="0"/>
        <v>39786</v>
      </c>
      <c r="N16" s="352" t="s">
        <v>368</v>
      </c>
      <c r="O16" s="121">
        <v>17.25</v>
      </c>
      <c r="P16" s="357" t="s">
        <v>211</v>
      </c>
    </row>
    <row r="17" spans="1:16" s="157" customFormat="1" ht="47.25">
      <c r="A17" s="325">
        <v>9</v>
      </c>
      <c r="B17" s="423" t="s">
        <v>137</v>
      </c>
      <c r="C17" s="327" t="s">
        <v>289</v>
      </c>
      <c r="D17" s="328" t="s">
        <v>165</v>
      </c>
      <c r="E17" s="358" t="s">
        <v>8</v>
      </c>
      <c r="F17" s="359">
        <v>1083</v>
      </c>
      <c r="G17" s="330">
        <v>85.5</v>
      </c>
      <c r="H17" s="332">
        <v>1</v>
      </c>
      <c r="I17" s="332">
        <v>0.4386</v>
      </c>
      <c r="J17" s="333">
        <v>321838</v>
      </c>
      <c r="K17" s="333">
        <v>141152</v>
      </c>
      <c r="L17" s="333">
        <v>0</v>
      </c>
      <c r="M17" s="333">
        <f t="shared" si="0"/>
        <v>180686</v>
      </c>
      <c r="N17" s="327" t="s">
        <v>375</v>
      </c>
      <c r="O17" s="341">
        <v>52940000</v>
      </c>
      <c r="P17" s="335" t="s">
        <v>211</v>
      </c>
    </row>
    <row r="18" spans="1:16" s="157" customFormat="1" ht="72.75" customHeight="1">
      <c r="A18" s="325">
        <v>10</v>
      </c>
      <c r="B18" s="422" t="s">
        <v>34</v>
      </c>
      <c r="C18" s="105" t="s">
        <v>289</v>
      </c>
      <c r="D18" s="352" t="s">
        <v>165</v>
      </c>
      <c r="E18" s="353" t="s">
        <v>8</v>
      </c>
      <c r="F18" s="354">
        <v>418</v>
      </c>
      <c r="G18" s="150">
        <v>84.5</v>
      </c>
      <c r="H18" s="356">
        <v>1</v>
      </c>
      <c r="I18" s="356">
        <v>0.7288</v>
      </c>
      <c r="J18" s="245">
        <v>520618</v>
      </c>
      <c r="K18" s="245">
        <v>376099</v>
      </c>
      <c r="L18" s="245">
        <v>15883</v>
      </c>
      <c r="M18" s="333">
        <f t="shared" si="0"/>
        <v>128636</v>
      </c>
      <c r="N18" s="353" t="s">
        <v>378</v>
      </c>
      <c r="O18" s="360">
        <v>93770000</v>
      </c>
      <c r="P18" s="361" t="s">
        <v>215</v>
      </c>
    </row>
    <row r="19" spans="1:16" s="157" customFormat="1" ht="47.25">
      <c r="A19" s="325">
        <v>11</v>
      </c>
      <c r="B19" s="418" t="s">
        <v>210</v>
      </c>
      <c r="C19" s="327" t="s">
        <v>289</v>
      </c>
      <c r="D19" s="328" t="s">
        <v>165</v>
      </c>
      <c r="E19" s="328" t="s">
        <v>8</v>
      </c>
      <c r="F19" s="329">
        <v>416</v>
      </c>
      <c r="G19" s="330">
        <v>84.5</v>
      </c>
      <c r="H19" s="332">
        <v>1</v>
      </c>
      <c r="I19" s="332">
        <v>0.9138</v>
      </c>
      <c r="J19" s="333">
        <v>1497133</v>
      </c>
      <c r="K19" s="333">
        <v>1368069</v>
      </c>
      <c r="L19" s="333">
        <v>0</v>
      </c>
      <c r="M19" s="333">
        <f t="shared" si="0"/>
        <v>129064</v>
      </c>
      <c r="N19" s="328" t="s">
        <v>379</v>
      </c>
      <c r="O19" s="341">
        <f>356262185/4.8</f>
        <v>74221288.54166667</v>
      </c>
      <c r="P19" s="362" t="s">
        <v>388</v>
      </c>
    </row>
    <row r="20" spans="1:16" s="157" customFormat="1" ht="31.5">
      <c r="A20" s="325">
        <v>12</v>
      </c>
      <c r="B20" s="418" t="s">
        <v>147</v>
      </c>
      <c r="C20" s="327" t="s">
        <v>289</v>
      </c>
      <c r="D20" s="328" t="s">
        <v>166</v>
      </c>
      <c r="E20" s="328" t="s">
        <v>8</v>
      </c>
      <c r="F20" s="329">
        <v>375</v>
      </c>
      <c r="G20" s="330">
        <v>83</v>
      </c>
      <c r="H20" s="363">
        <v>1</v>
      </c>
      <c r="I20" s="363">
        <v>0.9966</v>
      </c>
      <c r="J20" s="339">
        <v>2101489</v>
      </c>
      <c r="K20" s="339">
        <v>1945193</v>
      </c>
      <c r="L20" s="339">
        <v>102746</v>
      </c>
      <c r="M20" s="333">
        <f t="shared" si="0"/>
        <v>53550</v>
      </c>
      <c r="N20" s="364">
        <v>2021</v>
      </c>
      <c r="O20" s="358">
        <v>3.62</v>
      </c>
      <c r="P20" s="365" t="s">
        <v>365</v>
      </c>
    </row>
    <row r="21" spans="1:16" s="157" customFormat="1" ht="114.75" customHeight="1">
      <c r="A21" s="325">
        <v>13</v>
      </c>
      <c r="B21" s="418" t="s">
        <v>26</v>
      </c>
      <c r="C21" s="327" t="s">
        <v>289</v>
      </c>
      <c r="D21" s="328" t="s">
        <v>165</v>
      </c>
      <c r="E21" s="328" t="s">
        <v>8</v>
      </c>
      <c r="F21" s="329">
        <v>411</v>
      </c>
      <c r="G21" s="338">
        <v>81.5</v>
      </c>
      <c r="H21" s="331">
        <v>1</v>
      </c>
      <c r="I21" s="332">
        <v>0.9769</v>
      </c>
      <c r="J21" s="333">
        <v>1932217</v>
      </c>
      <c r="K21" s="333">
        <v>1884332</v>
      </c>
      <c r="L21" s="333">
        <v>3385</v>
      </c>
      <c r="M21" s="333">
        <f t="shared" si="0"/>
        <v>44500</v>
      </c>
      <c r="N21" s="366" t="s">
        <v>380</v>
      </c>
      <c r="O21" s="341">
        <v>1192250000</v>
      </c>
      <c r="P21" s="367" t="s">
        <v>402</v>
      </c>
    </row>
    <row r="22" spans="1:16" s="157" customFormat="1" ht="56.25" customHeight="1">
      <c r="A22" s="325">
        <v>14</v>
      </c>
      <c r="B22" s="418" t="s">
        <v>19</v>
      </c>
      <c r="C22" s="327" t="s">
        <v>289</v>
      </c>
      <c r="D22" s="328" t="s">
        <v>165</v>
      </c>
      <c r="E22" s="328" t="s">
        <v>8</v>
      </c>
      <c r="F22" s="329">
        <v>996</v>
      </c>
      <c r="G22" s="338">
        <v>81.5</v>
      </c>
      <c r="H22" s="332">
        <v>1</v>
      </c>
      <c r="I22" s="332">
        <v>0.7801</v>
      </c>
      <c r="J22" s="333">
        <v>531394</v>
      </c>
      <c r="K22" s="333">
        <v>414525</v>
      </c>
      <c r="L22" s="333">
        <v>28</v>
      </c>
      <c r="M22" s="333">
        <f t="shared" si="0"/>
        <v>116841</v>
      </c>
      <c r="N22" s="327" t="s">
        <v>373</v>
      </c>
      <c r="O22" s="341">
        <v>904153000</v>
      </c>
      <c r="P22" s="335" t="s">
        <v>213</v>
      </c>
    </row>
    <row r="23" spans="1:16" s="157" customFormat="1" ht="63">
      <c r="A23" s="325">
        <v>15</v>
      </c>
      <c r="B23" s="418" t="s">
        <v>10</v>
      </c>
      <c r="C23" s="327" t="s">
        <v>289</v>
      </c>
      <c r="D23" s="328" t="s">
        <v>165</v>
      </c>
      <c r="E23" s="328" t="s">
        <v>8</v>
      </c>
      <c r="F23" s="329">
        <v>990</v>
      </c>
      <c r="G23" s="338">
        <v>81.5</v>
      </c>
      <c r="H23" s="332">
        <v>1</v>
      </c>
      <c r="I23" s="332">
        <v>0.6235</v>
      </c>
      <c r="J23" s="333">
        <v>1397821</v>
      </c>
      <c r="K23" s="333">
        <v>871587</v>
      </c>
      <c r="L23" s="333">
        <v>1818</v>
      </c>
      <c r="M23" s="333">
        <f t="shared" si="0"/>
        <v>524416</v>
      </c>
      <c r="N23" s="368" t="s">
        <v>201</v>
      </c>
      <c r="O23" s="341">
        <v>755742000</v>
      </c>
      <c r="P23" s="367" t="s">
        <v>214</v>
      </c>
    </row>
    <row r="24" spans="1:16" s="157" customFormat="1" ht="47.25">
      <c r="A24" s="325">
        <v>16</v>
      </c>
      <c r="B24" s="418" t="s">
        <v>16</v>
      </c>
      <c r="C24" s="327" t="s">
        <v>289</v>
      </c>
      <c r="D24" s="328" t="s">
        <v>165</v>
      </c>
      <c r="E24" s="328" t="s">
        <v>8</v>
      </c>
      <c r="F24" s="329">
        <v>991</v>
      </c>
      <c r="G24" s="338">
        <v>81.5</v>
      </c>
      <c r="H24" s="332">
        <v>1</v>
      </c>
      <c r="I24" s="332">
        <v>0.8929</v>
      </c>
      <c r="J24" s="333">
        <v>1302478</v>
      </c>
      <c r="K24" s="333">
        <v>1129491</v>
      </c>
      <c r="L24" s="333">
        <v>33731</v>
      </c>
      <c r="M24" s="333">
        <f t="shared" si="0"/>
        <v>139256</v>
      </c>
      <c r="N24" s="369" t="s">
        <v>200</v>
      </c>
      <c r="O24" s="341">
        <v>219600000</v>
      </c>
      <c r="P24" s="335" t="s">
        <v>215</v>
      </c>
    </row>
    <row r="25" spans="1:16" s="157" customFormat="1" ht="63">
      <c r="A25" s="325">
        <v>17</v>
      </c>
      <c r="B25" s="418" t="s">
        <v>43</v>
      </c>
      <c r="C25" s="327" t="s">
        <v>289</v>
      </c>
      <c r="D25" s="328" t="s">
        <v>165</v>
      </c>
      <c r="E25" s="328" t="s">
        <v>8</v>
      </c>
      <c r="F25" s="329">
        <v>1175</v>
      </c>
      <c r="G25" s="338">
        <v>81.5</v>
      </c>
      <c r="H25" s="332">
        <v>1</v>
      </c>
      <c r="I25" s="332">
        <v>1</v>
      </c>
      <c r="J25" s="333">
        <v>234187</v>
      </c>
      <c r="K25" s="333">
        <v>234183</v>
      </c>
      <c r="L25" s="333">
        <v>0</v>
      </c>
      <c r="M25" s="333">
        <f t="shared" si="0"/>
        <v>4</v>
      </c>
      <c r="N25" s="346" t="s">
        <v>373</v>
      </c>
      <c r="O25" s="341">
        <v>178620000</v>
      </c>
      <c r="P25" s="335" t="s">
        <v>211</v>
      </c>
    </row>
    <row r="26" spans="1:18" s="184" customFormat="1" ht="47.25">
      <c r="A26" s="325">
        <v>18</v>
      </c>
      <c r="B26" s="422" t="s">
        <v>148</v>
      </c>
      <c r="C26" s="105" t="s">
        <v>289</v>
      </c>
      <c r="D26" s="352" t="s">
        <v>165</v>
      </c>
      <c r="E26" s="353" t="s">
        <v>8</v>
      </c>
      <c r="F26" s="354">
        <v>1082</v>
      </c>
      <c r="G26" s="150">
        <v>81.5</v>
      </c>
      <c r="H26" s="356">
        <v>1</v>
      </c>
      <c r="I26" s="356">
        <v>0.5082</v>
      </c>
      <c r="J26" s="245">
        <v>461513</v>
      </c>
      <c r="K26" s="245">
        <v>234552</v>
      </c>
      <c r="L26" s="245">
        <v>4332</v>
      </c>
      <c r="M26" s="333">
        <f t="shared" si="0"/>
        <v>222629</v>
      </c>
      <c r="N26" s="352" t="s">
        <v>329</v>
      </c>
      <c r="O26" s="360">
        <v>162664000</v>
      </c>
      <c r="P26" s="361" t="s">
        <v>215</v>
      </c>
      <c r="Q26" s="157"/>
      <c r="R26" s="157"/>
    </row>
    <row r="27" spans="1:16" s="157" customFormat="1" ht="31.5">
      <c r="A27" s="325">
        <v>19</v>
      </c>
      <c r="B27" s="418" t="s">
        <v>32</v>
      </c>
      <c r="C27" s="327" t="s">
        <v>289</v>
      </c>
      <c r="D27" s="328" t="s">
        <v>165</v>
      </c>
      <c r="E27" s="328" t="s">
        <v>8</v>
      </c>
      <c r="F27" s="329">
        <v>982</v>
      </c>
      <c r="G27" s="330">
        <v>81.5</v>
      </c>
      <c r="H27" s="332">
        <v>1</v>
      </c>
      <c r="I27" s="332">
        <v>0.7307</v>
      </c>
      <c r="J27" s="333">
        <v>416658</v>
      </c>
      <c r="K27" s="333">
        <v>301251</v>
      </c>
      <c r="L27" s="333">
        <v>3115</v>
      </c>
      <c r="M27" s="333">
        <f t="shared" si="0"/>
        <v>112292</v>
      </c>
      <c r="N27" s="371" t="s">
        <v>376</v>
      </c>
      <c r="O27" s="341">
        <v>68340000</v>
      </c>
      <c r="P27" s="335" t="s">
        <v>211</v>
      </c>
    </row>
    <row r="28" spans="1:16" s="157" customFormat="1" ht="47.25">
      <c r="A28" s="325">
        <v>20</v>
      </c>
      <c r="B28" s="423" t="s">
        <v>138</v>
      </c>
      <c r="C28" s="327" t="s">
        <v>289</v>
      </c>
      <c r="D28" s="328" t="s">
        <v>165</v>
      </c>
      <c r="E28" s="358" t="s">
        <v>8</v>
      </c>
      <c r="F28" s="359">
        <v>1085</v>
      </c>
      <c r="G28" s="338">
        <v>81.5</v>
      </c>
      <c r="H28" s="332">
        <v>1</v>
      </c>
      <c r="I28" s="332">
        <v>0.5232</v>
      </c>
      <c r="J28" s="333">
        <v>348744</v>
      </c>
      <c r="K28" s="333">
        <v>182474</v>
      </c>
      <c r="L28" s="333">
        <v>900</v>
      </c>
      <c r="M28" s="333">
        <f t="shared" si="0"/>
        <v>165370</v>
      </c>
      <c r="N28" s="346" t="s">
        <v>373</v>
      </c>
      <c r="O28" s="341">
        <v>46280000</v>
      </c>
      <c r="P28" s="335" t="s">
        <v>211</v>
      </c>
    </row>
    <row r="29" spans="1:16" s="157" customFormat="1" ht="234.75" customHeight="1">
      <c r="A29" s="325">
        <v>21</v>
      </c>
      <c r="B29" s="418" t="s">
        <v>36</v>
      </c>
      <c r="C29" s="327" t="s">
        <v>289</v>
      </c>
      <c r="D29" s="328" t="s">
        <v>165</v>
      </c>
      <c r="E29" s="328" t="s">
        <v>8</v>
      </c>
      <c r="F29" s="329">
        <v>1173</v>
      </c>
      <c r="G29" s="338">
        <v>81.5</v>
      </c>
      <c r="H29" s="372">
        <v>1</v>
      </c>
      <c r="I29" s="332">
        <v>1.0273</v>
      </c>
      <c r="J29" s="333">
        <v>269440</v>
      </c>
      <c r="K29" s="333">
        <v>276794</v>
      </c>
      <c r="L29" s="333">
        <v>0</v>
      </c>
      <c r="M29" s="333">
        <f t="shared" si="0"/>
        <v>-7354</v>
      </c>
      <c r="N29" s="346" t="s">
        <v>376</v>
      </c>
      <c r="O29" s="341">
        <v>37370000</v>
      </c>
      <c r="P29" s="361" t="s">
        <v>403</v>
      </c>
    </row>
    <row r="30" spans="1:16" s="157" customFormat="1" ht="199.5" customHeight="1">
      <c r="A30" s="325">
        <v>22</v>
      </c>
      <c r="B30" s="418" t="s">
        <v>45</v>
      </c>
      <c r="C30" s="327" t="s">
        <v>289</v>
      </c>
      <c r="D30" s="328" t="s">
        <v>165</v>
      </c>
      <c r="E30" s="328" t="s">
        <v>8</v>
      </c>
      <c r="F30" s="329">
        <v>400</v>
      </c>
      <c r="G30" s="330">
        <v>79.5</v>
      </c>
      <c r="H30" s="332">
        <v>1</v>
      </c>
      <c r="I30" s="332">
        <v>1.0089</v>
      </c>
      <c r="J30" s="333">
        <v>1405079</v>
      </c>
      <c r="K30" s="333">
        <v>1375326</v>
      </c>
      <c r="L30" s="333">
        <v>76729</v>
      </c>
      <c r="M30" s="333">
        <f t="shared" si="0"/>
        <v>-46976</v>
      </c>
      <c r="N30" s="340" t="s">
        <v>381</v>
      </c>
      <c r="O30" s="341">
        <v>197177821</v>
      </c>
      <c r="P30" s="367" t="s">
        <v>404</v>
      </c>
    </row>
    <row r="31" spans="1:16" s="157" customFormat="1" ht="102.75" customHeight="1">
      <c r="A31" s="325">
        <v>23</v>
      </c>
      <c r="B31" s="418" t="s">
        <v>44</v>
      </c>
      <c r="C31" s="327" t="s">
        <v>289</v>
      </c>
      <c r="D31" s="328" t="s">
        <v>165</v>
      </c>
      <c r="E31" s="328" t="s">
        <v>8</v>
      </c>
      <c r="F31" s="329">
        <v>397</v>
      </c>
      <c r="G31" s="330">
        <v>79.5</v>
      </c>
      <c r="H31" s="363">
        <v>1</v>
      </c>
      <c r="I31" s="373">
        <v>0.767</v>
      </c>
      <c r="J31" s="374">
        <v>775042</v>
      </c>
      <c r="K31" s="374">
        <v>594448</v>
      </c>
      <c r="L31" s="374">
        <v>14511</v>
      </c>
      <c r="M31" s="345">
        <f t="shared" si="0"/>
        <v>166083</v>
      </c>
      <c r="N31" s="364" t="s">
        <v>382</v>
      </c>
      <c r="O31" s="341">
        <v>188572845</v>
      </c>
      <c r="P31" s="367" t="s">
        <v>405</v>
      </c>
    </row>
    <row r="32" spans="1:16" s="157" customFormat="1" ht="49.5" customHeight="1">
      <c r="A32" s="325">
        <v>24</v>
      </c>
      <c r="B32" s="418" t="s">
        <v>39</v>
      </c>
      <c r="C32" s="327" t="s">
        <v>289</v>
      </c>
      <c r="D32" s="328" t="s">
        <v>165</v>
      </c>
      <c r="E32" s="328" t="s">
        <v>8</v>
      </c>
      <c r="F32" s="329">
        <v>418</v>
      </c>
      <c r="G32" s="338">
        <v>79.5</v>
      </c>
      <c r="H32" s="332">
        <v>1</v>
      </c>
      <c r="I32" s="332">
        <v>0.5904</v>
      </c>
      <c r="J32" s="333">
        <v>282039</v>
      </c>
      <c r="K32" s="333">
        <v>166520</v>
      </c>
      <c r="L32" s="333">
        <v>5028</v>
      </c>
      <c r="M32" s="333">
        <f t="shared" si="0"/>
        <v>110491</v>
      </c>
      <c r="N32" s="328" t="s">
        <v>383</v>
      </c>
      <c r="O32" s="341">
        <v>150349000</v>
      </c>
      <c r="P32" s="335" t="s">
        <v>211</v>
      </c>
    </row>
    <row r="33" spans="1:16" s="157" customFormat="1" ht="53.25" customHeight="1">
      <c r="A33" s="325">
        <v>25</v>
      </c>
      <c r="B33" s="418" t="s">
        <v>46</v>
      </c>
      <c r="C33" s="327" t="s">
        <v>289</v>
      </c>
      <c r="D33" s="328" t="s">
        <v>165</v>
      </c>
      <c r="E33" s="328" t="s">
        <v>8</v>
      </c>
      <c r="F33" s="329">
        <v>418</v>
      </c>
      <c r="G33" s="338">
        <v>79.5</v>
      </c>
      <c r="H33" s="331">
        <v>1</v>
      </c>
      <c r="I33" s="332">
        <v>0.6385</v>
      </c>
      <c r="J33" s="333">
        <v>373866</v>
      </c>
      <c r="K33" s="333">
        <v>238708</v>
      </c>
      <c r="L33" s="333">
        <v>0</v>
      </c>
      <c r="M33" s="333">
        <f t="shared" si="0"/>
        <v>135158</v>
      </c>
      <c r="N33" s="346" t="s">
        <v>377</v>
      </c>
      <c r="O33" s="341">
        <v>88140000</v>
      </c>
      <c r="P33" s="335" t="s">
        <v>211</v>
      </c>
    </row>
    <row r="34" spans="1:16" s="157" customFormat="1" ht="104.25" customHeight="1">
      <c r="A34" s="325">
        <v>26</v>
      </c>
      <c r="B34" s="418" t="s">
        <v>48</v>
      </c>
      <c r="C34" s="327" t="s">
        <v>289</v>
      </c>
      <c r="D34" s="328" t="s">
        <v>165</v>
      </c>
      <c r="E34" s="328" t="s">
        <v>8</v>
      </c>
      <c r="F34" s="329">
        <v>418</v>
      </c>
      <c r="G34" s="338">
        <v>79.5</v>
      </c>
      <c r="H34" s="332">
        <v>1</v>
      </c>
      <c r="I34" s="332">
        <v>0.4576</v>
      </c>
      <c r="J34" s="333">
        <v>334360</v>
      </c>
      <c r="K34" s="333">
        <v>153013</v>
      </c>
      <c r="L34" s="333">
        <v>0</v>
      </c>
      <c r="M34" s="333">
        <f t="shared" si="0"/>
        <v>181347</v>
      </c>
      <c r="N34" s="329" t="s">
        <v>381</v>
      </c>
      <c r="O34" s="341">
        <v>61101000</v>
      </c>
      <c r="P34" s="361" t="s">
        <v>406</v>
      </c>
    </row>
    <row r="35" spans="1:16" s="157" customFormat="1" ht="53.25" customHeight="1">
      <c r="A35" s="325">
        <v>27</v>
      </c>
      <c r="B35" s="418" t="s">
        <v>54</v>
      </c>
      <c r="C35" s="327" t="s">
        <v>289</v>
      </c>
      <c r="D35" s="327" t="s">
        <v>165</v>
      </c>
      <c r="E35" s="327" t="s">
        <v>8</v>
      </c>
      <c r="F35" s="327">
        <v>418</v>
      </c>
      <c r="G35" s="327" t="s">
        <v>370</v>
      </c>
      <c r="H35" s="332">
        <v>1</v>
      </c>
      <c r="I35" s="327" t="s">
        <v>369</v>
      </c>
      <c r="J35" s="333">
        <v>285931</v>
      </c>
      <c r="K35" s="333">
        <v>203936</v>
      </c>
      <c r="L35" s="333">
        <v>1960</v>
      </c>
      <c r="M35" s="333">
        <f t="shared" si="0"/>
        <v>80035</v>
      </c>
      <c r="N35" s="327" t="s">
        <v>368</v>
      </c>
      <c r="O35" s="341">
        <v>45736000</v>
      </c>
      <c r="P35" s="335"/>
    </row>
    <row r="36" spans="1:16" s="157" customFormat="1" ht="53.25" customHeight="1">
      <c r="A36" s="325">
        <v>28</v>
      </c>
      <c r="B36" s="418" t="s">
        <v>158</v>
      </c>
      <c r="C36" s="327" t="s">
        <v>289</v>
      </c>
      <c r="D36" s="328" t="s">
        <v>165</v>
      </c>
      <c r="E36" s="328" t="s">
        <v>8</v>
      </c>
      <c r="F36" s="329">
        <v>417</v>
      </c>
      <c r="G36" s="338">
        <v>79.5</v>
      </c>
      <c r="H36" s="332">
        <v>1</v>
      </c>
      <c r="I36" s="332">
        <v>0.9611</v>
      </c>
      <c r="J36" s="333">
        <v>115885</v>
      </c>
      <c r="K36" s="333">
        <v>111374</v>
      </c>
      <c r="L36" s="333">
        <v>0</v>
      </c>
      <c r="M36" s="333">
        <f t="shared" si="0"/>
        <v>4511</v>
      </c>
      <c r="N36" s="346" t="s">
        <v>377</v>
      </c>
      <c r="O36" s="341">
        <v>22990000</v>
      </c>
      <c r="P36" s="375" t="s">
        <v>219</v>
      </c>
    </row>
    <row r="37" spans="1:16" s="157" customFormat="1" ht="47.25">
      <c r="A37" s="325">
        <v>29</v>
      </c>
      <c r="B37" s="418" t="s">
        <v>443</v>
      </c>
      <c r="C37" s="328" t="s">
        <v>289</v>
      </c>
      <c r="D37" s="326" t="s">
        <v>168</v>
      </c>
      <c r="E37" s="328" t="s">
        <v>8</v>
      </c>
      <c r="F37" s="328">
        <v>384</v>
      </c>
      <c r="G37" s="338">
        <v>79</v>
      </c>
      <c r="H37" s="332">
        <v>1</v>
      </c>
      <c r="I37" s="332">
        <v>0.926</v>
      </c>
      <c r="J37" s="333">
        <v>2023407</v>
      </c>
      <c r="K37" s="333">
        <v>1876480</v>
      </c>
      <c r="L37" s="333">
        <v>0</v>
      </c>
      <c r="M37" s="333">
        <f t="shared" si="0"/>
        <v>146927</v>
      </c>
      <c r="N37" s="328">
        <v>2018</v>
      </c>
      <c r="O37" s="341">
        <f>15.8*1000000</f>
        <v>15800000</v>
      </c>
      <c r="P37" s="410" t="s">
        <v>420</v>
      </c>
    </row>
    <row r="38" spans="1:16" s="157" customFormat="1" ht="198.75" customHeight="1">
      <c r="A38" s="325">
        <v>30</v>
      </c>
      <c r="B38" s="418" t="s">
        <v>49</v>
      </c>
      <c r="C38" s="327" t="s">
        <v>289</v>
      </c>
      <c r="D38" s="328" t="s">
        <v>165</v>
      </c>
      <c r="E38" s="328" t="s">
        <v>8</v>
      </c>
      <c r="F38" s="329">
        <v>1174</v>
      </c>
      <c r="G38" s="338">
        <v>78</v>
      </c>
      <c r="H38" s="343">
        <v>1</v>
      </c>
      <c r="I38" s="349">
        <v>1.2183</v>
      </c>
      <c r="J38" s="333">
        <v>329248</v>
      </c>
      <c r="K38" s="333">
        <v>391188</v>
      </c>
      <c r="L38" s="333">
        <v>10225</v>
      </c>
      <c r="M38" s="333">
        <f t="shared" si="0"/>
        <v>-72165</v>
      </c>
      <c r="N38" s="346" t="s">
        <v>379</v>
      </c>
      <c r="O38" s="341">
        <v>539237000</v>
      </c>
      <c r="P38" s="361" t="s">
        <v>407</v>
      </c>
    </row>
    <row r="39" spans="1:16" s="157" customFormat="1" ht="232.5" customHeight="1">
      <c r="A39" s="325">
        <v>31</v>
      </c>
      <c r="B39" s="418" t="s">
        <v>50</v>
      </c>
      <c r="C39" s="327" t="s">
        <v>289</v>
      </c>
      <c r="D39" s="328" t="s">
        <v>165</v>
      </c>
      <c r="E39" s="328" t="s">
        <v>8</v>
      </c>
      <c r="F39" s="329">
        <v>1165</v>
      </c>
      <c r="G39" s="338">
        <v>78</v>
      </c>
      <c r="H39" s="332">
        <v>1</v>
      </c>
      <c r="I39" s="332">
        <v>1.1124</v>
      </c>
      <c r="J39" s="333">
        <v>204118</v>
      </c>
      <c r="K39" s="333">
        <v>227058</v>
      </c>
      <c r="L39" s="333">
        <v>0</v>
      </c>
      <c r="M39" s="333">
        <f t="shared" si="0"/>
        <v>-22940</v>
      </c>
      <c r="N39" s="376" t="s">
        <v>381</v>
      </c>
      <c r="O39" s="341">
        <v>162664000</v>
      </c>
      <c r="P39" s="361" t="s">
        <v>403</v>
      </c>
    </row>
    <row r="40" spans="1:16" s="157" customFormat="1" ht="147.75" customHeight="1">
      <c r="A40" s="325">
        <v>32</v>
      </c>
      <c r="B40" s="418" t="s">
        <v>142</v>
      </c>
      <c r="C40" s="327" t="s">
        <v>289</v>
      </c>
      <c r="D40" s="328" t="s">
        <v>165</v>
      </c>
      <c r="E40" s="328" t="s">
        <v>8</v>
      </c>
      <c r="F40" s="329">
        <v>399</v>
      </c>
      <c r="G40" s="338">
        <v>78</v>
      </c>
      <c r="H40" s="343">
        <v>1</v>
      </c>
      <c r="I40" s="344">
        <v>0.7858</v>
      </c>
      <c r="J40" s="345">
        <v>887402</v>
      </c>
      <c r="K40" s="345">
        <v>697286</v>
      </c>
      <c r="L40" s="345">
        <v>3510</v>
      </c>
      <c r="M40" s="345">
        <f t="shared" si="0"/>
        <v>186606</v>
      </c>
      <c r="N40" s="346" t="s">
        <v>384</v>
      </c>
      <c r="O40" s="341">
        <v>136300000</v>
      </c>
      <c r="P40" s="367" t="s">
        <v>408</v>
      </c>
    </row>
    <row r="41" spans="1:16" s="157" customFormat="1" ht="216" customHeight="1">
      <c r="A41" s="325">
        <v>33</v>
      </c>
      <c r="B41" s="418" t="s">
        <v>150</v>
      </c>
      <c r="C41" s="327" t="s">
        <v>289</v>
      </c>
      <c r="D41" s="328" t="s">
        <v>165</v>
      </c>
      <c r="E41" s="328" t="s">
        <v>8</v>
      </c>
      <c r="F41" s="329">
        <v>412</v>
      </c>
      <c r="G41" s="330">
        <v>78</v>
      </c>
      <c r="H41" s="332">
        <v>1</v>
      </c>
      <c r="I41" s="332">
        <v>1.0098</v>
      </c>
      <c r="J41" s="333">
        <v>1763194</v>
      </c>
      <c r="K41" s="333">
        <v>1780446</v>
      </c>
      <c r="L41" s="333">
        <v>100</v>
      </c>
      <c r="M41" s="333">
        <f t="shared" si="0"/>
        <v>-17352</v>
      </c>
      <c r="N41" s="369" t="s">
        <v>202</v>
      </c>
      <c r="O41" s="341">
        <v>130260000</v>
      </c>
      <c r="P41" s="367" t="s">
        <v>409</v>
      </c>
    </row>
    <row r="42" spans="1:18" s="157" customFormat="1" ht="141.75" customHeight="1">
      <c r="A42" s="325">
        <v>34</v>
      </c>
      <c r="B42" s="424" t="s">
        <v>42</v>
      </c>
      <c r="C42" s="377" t="s">
        <v>289</v>
      </c>
      <c r="D42" s="378" t="s">
        <v>165</v>
      </c>
      <c r="E42" s="378" t="s">
        <v>8</v>
      </c>
      <c r="F42" s="379">
        <v>401</v>
      </c>
      <c r="G42" s="380">
        <v>78</v>
      </c>
      <c r="H42" s="381">
        <v>1</v>
      </c>
      <c r="I42" s="344">
        <v>0.6971</v>
      </c>
      <c r="J42" s="382">
        <v>1650060</v>
      </c>
      <c r="K42" s="382">
        <v>1150297</v>
      </c>
      <c r="L42" s="382">
        <v>4050</v>
      </c>
      <c r="M42" s="333">
        <f t="shared" si="0"/>
        <v>495713</v>
      </c>
      <c r="N42" s="383" t="s">
        <v>379</v>
      </c>
      <c r="O42" s="384">
        <v>96000000</v>
      </c>
      <c r="P42" s="367" t="s">
        <v>410</v>
      </c>
      <c r="Q42" s="184"/>
      <c r="R42" s="184"/>
    </row>
    <row r="43" spans="1:16" s="157" customFormat="1" ht="31.5">
      <c r="A43" s="325">
        <v>35</v>
      </c>
      <c r="B43" s="418" t="s">
        <v>37</v>
      </c>
      <c r="C43" s="327" t="s">
        <v>289</v>
      </c>
      <c r="D43" s="328" t="s">
        <v>165</v>
      </c>
      <c r="E43" s="328" t="s">
        <v>8</v>
      </c>
      <c r="F43" s="329">
        <v>1115</v>
      </c>
      <c r="G43" s="338">
        <v>78</v>
      </c>
      <c r="H43" s="349">
        <v>1</v>
      </c>
      <c r="I43" s="349">
        <v>0.839</v>
      </c>
      <c r="J43" s="333">
        <v>322976</v>
      </c>
      <c r="K43" s="333">
        <v>270971</v>
      </c>
      <c r="L43" s="333">
        <v>0</v>
      </c>
      <c r="M43" s="333">
        <f t="shared" si="0"/>
        <v>52005</v>
      </c>
      <c r="N43" s="346" t="s">
        <v>376</v>
      </c>
      <c r="O43" s="341">
        <v>46170000</v>
      </c>
      <c r="P43" s="335" t="s">
        <v>211</v>
      </c>
    </row>
    <row r="44" spans="1:16" s="157" customFormat="1" ht="31.5">
      <c r="A44" s="325">
        <v>36</v>
      </c>
      <c r="B44" s="418" t="s">
        <v>160</v>
      </c>
      <c r="C44" s="327" t="s">
        <v>289</v>
      </c>
      <c r="D44" s="328" t="s">
        <v>165</v>
      </c>
      <c r="E44" s="328" t="s">
        <v>8</v>
      </c>
      <c r="F44" s="329">
        <v>367</v>
      </c>
      <c r="G44" s="358">
        <v>78</v>
      </c>
      <c r="H44" s="349">
        <v>1</v>
      </c>
      <c r="I44" s="349">
        <v>0.562</v>
      </c>
      <c r="J44" s="334">
        <v>275523</v>
      </c>
      <c r="K44" s="334">
        <v>154855</v>
      </c>
      <c r="L44" s="334">
        <v>0</v>
      </c>
      <c r="M44" s="333">
        <f t="shared" si="0"/>
        <v>120668</v>
      </c>
      <c r="N44" s="328" t="s">
        <v>379</v>
      </c>
      <c r="O44" s="334">
        <f>11423728/4.8</f>
        <v>2379943.3333333335</v>
      </c>
      <c r="P44" s="370" t="s">
        <v>211</v>
      </c>
    </row>
    <row r="45" spans="1:16" s="185" customFormat="1" ht="31.5">
      <c r="A45" s="325">
        <v>37</v>
      </c>
      <c r="B45" s="422" t="s">
        <v>122</v>
      </c>
      <c r="C45" s="105" t="s">
        <v>289</v>
      </c>
      <c r="D45" s="352" t="s">
        <v>165</v>
      </c>
      <c r="E45" s="353" t="s">
        <v>8</v>
      </c>
      <c r="F45" s="354">
        <v>873</v>
      </c>
      <c r="G45" s="358">
        <v>77.5</v>
      </c>
      <c r="H45" s="385">
        <v>1</v>
      </c>
      <c r="I45" s="386">
        <v>0.7266</v>
      </c>
      <c r="J45" s="204">
        <v>102108</v>
      </c>
      <c r="K45" s="204">
        <v>74195</v>
      </c>
      <c r="L45" s="204">
        <v>600</v>
      </c>
      <c r="M45" s="333">
        <f t="shared" si="0"/>
        <v>27313</v>
      </c>
      <c r="N45" s="352" t="s">
        <v>373</v>
      </c>
      <c r="O45" s="334">
        <v>55938510</v>
      </c>
      <c r="P45" s="357" t="s">
        <v>211</v>
      </c>
    </row>
    <row r="46" spans="1:16" s="157" customFormat="1" ht="203.25" customHeight="1">
      <c r="A46" s="325">
        <v>38</v>
      </c>
      <c r="B46" s="418" t="s">
        <v>47</v>
      </c>
      <c r="C46" s="327" t="s">
        <v>289</v>
      </c>
      <c r="D46" s="328" t="s">
        <v>165</v>
      </c>
      <c r="E46" s="328" t="s">
        <v>8</v>
      </c>
      <c r="F46" s="329">
        <v>416</v>
      </c>
      <c r="G46" s="338">
        <v>76</v>
      </c>
      <c r="H46" s="331">
        <v>1</v>
      </c>
      <c r="I46" s="332">
        <v>3.3125</v>
      </c>
      <c r="J46" s="333">
        <v>144433</v>
      </c>
      <c r="K46" s="333">
        <v>478438</v>
      </c>
      <c r="L46" s="333">
        <v>0</v>
      </c>
      <c r="M46" s="333">
        <f t="shared" si="0"/>
        <v>-334005</v>
      </c>
      <c r="N46" s="387" t="s">
        <v>381</v>
      </c>
      <c r="O46" s="341">
        <f>377468907/4.8</f>
        <v>78639355.625</v>
      </c>
      <c r="P46" s="361" t="s">
        <v>407</v>
      </c>
    </row>
    <row r="47" spans="1:16" s="157" customFormat="1" ht="279" customHeight="1">
      <c r="A47" s="325">
        <v>39</v>
      </c>
      <c r="B47" s="418" t="s">
        <v>218</v>
      </c>
      <c r="C47" s="327" t="s">
        <v>289</v>
      </c>
      <c r="D47" s="328" t="s">
        <v>165</v>
      </c>
      <c r="E47" s="328" t="s">
        <v>8</v>
      </c>
      <c r="F47" s="329">
        <v>417</v>
      </c>
      <c r="G47" s="338">
        <v>76</v>
      </c>
      <c r="H47" s="349">
        <v>1</v>
      </c>
      <c r="I47" s="349">
        <v>1.0265</v>
      </c>
      <c r="J47" s="334">
        <v>105746</v>
      </c>
      <c r="K47" s="334">
        <v>108551</v>
      </c>
      <c r="L47" s="334">
        <v>300</v>
      </c>
      <c r="M47" s="333">
        <f t="shared" si="0"/>
        <v>-3105</v>
      </c>
      <c r="N47" s="328" t="s">
        <v>379</v>
      </c>
      <c r="O47" s="341">
        <v>22990000</v>
      </c>
      <c r="P47" s="388" t="s">
        <v>411</v>
      </c>
    </row>
    <row r="48" spans="1:16" s="157" customFormat="1" ht="45" customHeight="1">
      <c r="A48" s="325">
        <v>40</v>
      </c>
      <c r="B48" s="418" t="s">
        <v>55</v>
      </c>
      <c r="C48" s="327" t="s">
        <v>289</v>
      </c>
      <c r="D48" s="328" t="s">
        <v>165</v>
      </c>
      <c r="E48" s="328" t="s">
        <v>8</v>
      </c>
      <c r="F48" s="329">
        <v>362</v>
      </c>
      <c r="G48" s="358">
        <v>73</v>
      </c>
      <c r="H48" s="331">
        <v>1</v>
      </c>
      <c r="I48" s="332">
        <v>0.9051</v>
      </c>
      <c r="J48" s="333">
        <v>701672</v>
      </c>
      <c r="K48" s="333">
        <v>635028</v>
      </c>
      <c r="L48" s="333">
        <v>415</v>
      </c>
      <c r="M48" s="333">
        <f t="shared" si="0"/>
        <v>66229</v>
      </c>
      <c r="N48" s="346" t="s">
        <v>375</v>
      </c>
      <c r="O48" s="358">
        <v>17</v>
      </c>
      <c r="P48" s="335" t="s">
        <v>211</v>
      </c>
    </row>
    <row r="49" spans="1:16" s="157" customFormat="1" ht="47.25" customHeight="1">
      <c r="A49" s="325">
        <v>41</v>
      </c>
      <c r="B49" s="418" t="s">
        <v>216</v>
      </c>
      <c r="C49" s="327" t="s">
        <v>289</v>
      </c>
      <c r="D49" s="328" t="s">
        <v>165</v>
      </c>
      <c r="E49" s="328" t="s">
        <v>8</v>
      </c>
      <c r="F49" s="329">
        <v>354</v>
      </c>
      <c r="G49" s="338">
        <v>73</v>
      </c>
      <c r="H49" s="332">
        <v>1</v>
      </c>
      <c r="I49" s="332">
        <v>0.9639</v>
      </c>
      <c r="J49" s="333">
        <v>1069643</v>
      </c>
      <c r="K49" s="333">
        <v>1031030</v>
      </c>
      <c r="L49" s="333">
        <v>0</v>
      </c>
      <c r="M49" s="333">
        <f t="shared" si="0"/>
        <v>38613</v>
      </c>
      <c r="N49" s="387" t="s">
        <v>375</v>
      </c>
      <c r="O49" s="358">
        <v>11.2</v>
      </c>
      <c r="P49" s="335" t="s">
        <v>211</v>
      </c>
    </row>
    <row r="50" spans="1:16" s="157" customFormat="1" ht="51.75" customHeight="1">
      <c r="A50" s="325">
        <v>42</v>
      </c>
      <c r="B50" s="418" t="s">
        <v>61</v>
      </c>
      <c r="C50" s="327" t="s">
        <v>289</v>
      </c>
      <c r="D50" s="328" t="s">
        <v>165</v>
      </c>
      <c r="E50" s="328" t="s">
        <v>8</v>
      </c>
      <c r="F50" s="329">
        <v>365</v>
      </c>
      <c r="G50" s="358">
        <v>71.5</v>
      </c>
      <c r="H50" s="332">
        <v>1</v>
      </c>
      <c r="I50" s="332">
        <v>0.8062</v>
      </c>
      <c r="J50" s="333">
        <v>228803</v>
      </c>
      <c r="K50" s="333">
        <v>184468</v>
      </c>
      <c r="L50" s="333">
        <v>80</v>
      </c>
      <c r="M50" s="333">
        <f t="shared" si="0"/>
        <v>44255</v>
      </c>
      <c r="N50" s="389" t="s">
        <v>375</v>
      </c>
      <c r="O50" s="334" t="s">
        <v>174</v>
      </c>
      <c r="P50" s="335" t="s">
        <v>211</v>
      </c>
    </row>
    <row r="51" spans="1:16" s="157" customFormat="1" ht="94.5">
      <c r="A51" s="325">
        <v>43</v>
      </c>
      <c r="B51" s="418" t="s">
        <v>65</v>
      </c>
      <c r="C51" s="327" t="s">
        <v>289</v>
      </c>
      <c r="D51" s="328" t="s">
        <v>165</v>
      </c>
      <c r="E51" s="328" t="s">
        <v>8</v>
      </c>
      <c r="F51" s="329">
        <v>395</v>
      </c>
      <c r="G51" s="338">
        <v>71</v>
      </c>
      <c r="H51" s="332">
        <v>1</v>
      </c>
      <c r="I51" s="332">
        <v>0.6403</v>
      </c>
      <c r="J51" s="333">
        <v>785961</v>
      </c>
      <c r="K51" s="333">
        <v>503257</v>
      </c>
      <c r="L51" s="333">
        <v>0</v>
      </c>
      <c r="M51" s="333">
        <f t="shared" si="0"/>
        <v>282704</v>
      </c>
      <c r="N51" s="369" t="s">
        <v>385</v>
      </c>
      <c r="O51" s="341">
        <v>45442</v>
      </c>
      <c r="P51" s="335" t="s">
        <v>211</v>
      </c>
    </row>
    <row r="52" spans="1:16" s="157" customFormat="1" ht="47.25">
      <c r="A52" s="325">
        <v>44</v>
      </c>
      <c r="B52" s="418" t="s">
        <v>162</v>
      </c>
      <c r="C52" s="327" t="s">
        <v>289</v>
      </c>
      <c r="D52" s="328" t="s">
        <v>165</v>
      </c>
      <c r="E52" s="328" t="s">
        <v>8</v>
      </c>
      <c r="F52" s="329">
        <v>413</v>
      </c>
      <c r="G52" s="338">
        <v>61</v>
      </c>
      <c r="H52" s="349">
        <v>1</v>
      </c>
      <c r="I52" s="390">
        <v>0.4331</v>
      </c>
      <c r="J52" s="345">
        <v>730162</v>
      </c>
      <c r="K52" s="345">
        <v>316225</v>
      </c>
      <c r="L52" s="345">
        <v>0</v>
      </c>
      <c r="M52" s="345">
        <f t="shared" si="0"/>
        <v>413937</v>
      </c>
      <c r="N52" s="346" t="s">
        <v>386</v>
      </c>
      <c r="O52" s="341">
        <v>75855760</v>
      </c>
      <c r="P52" s="367" t="s">
        <v>215</v>
      </c>
    </row>
    <row r="53" spans="1:16" s="157" customFormat="1" ht="47.25">
      <c r="A53" s="325">
        <v>45</v>
      </c>
      <c r="B53" s="418" t="s">
        <v>59</v>
      </c>
      <c r="C53" s="327" t="s">
        <v>289</v>
      </c>
      <c r="D53" s="328" t="s">
        <v>165</v>
      </c>
      <c r="E53" s="328" t="s">
        <v>8</v>
      </c>
      <c r="F53" s="329">
        <v>416</v>
      </c>
      <c r="G53" s="338">
        <v>59.5</v>
      </c>
      <c r="H53" s="332">
        <v>1</v>
      </c>
      <c r="I53" s="349">
        <v>0.6959</v>
      </c>
      <c r="J53" s="333">
        <v>424873</v>
      </c>
      <c r="K53" s="333">
        <v>295664</v>
      </c>
      <c r="L53" s="333">
        <v>0</v>
      </c>
      <c r="M53" s="333">
        <f t="shared" si="0"/>
        <v>129209</v>
      </c>
      <c r="N53" s="346" t="s">
        <v>379</v>
      </c>
      <c r="O53" s="334" t="s">
        <v>174</v>
      </c>
      <c r="P53" s="335" t="s">
        <v>388</v>
      </c>
    </row>
    <row r="54" spans="1:16" s="157" customFormat="1" ht="31.5">
      <c r="A54" s="325">
        <v>46</v>
      </c>
      <c r="B54" s="418" t="s">
        <v>60</v>
      </c>
      <c r="C54" s="327" t="s">
        <v>289</v>
      </c>
      <c r="D54" s="328" t="s">
        <v>165</v>
      </c>
      <c r="E54" s="328" t="s">
        <v>8</v>
      </c>
      <c r="F54" s="329">
        <v>352</v>
      </c>
      <c r="G54" s="338">
        <v>58</v>
      </c>
      <c r="H54" s="343">
        <v>1</v>
      </c>
      <c r="I54" s="332">
        <v>0.9363</v>
      </c>
      <c r="J54" s="333">
        <v>161835</v>
      </c>
      <c r="K54" s="345">
        <v>151533</v>
      </c>
      <c r="L54" s="345">
        <v>0</v>
      </c>
      <c r="M54" s="345">
        <f t="shared" si="0"/>
        <v>10302</v>
      </c>
      <c r="N54" s="346" t="s">
        <v>382</v>
      </c>
      <c r="O54" s="334" t="s">
        <v>174</v>
      </c>
      <c r="P54" s="335" t="s">
        <v>211</v>
      </c>
    </row>
    <row r="55" spans="1:16" s="157" customFormat="1" ht="48" thickBot="1">
      <c r="A55" s="391">
        <v>47</v>
      </c>
      <c r="B55" s="425" t="s">
        <v>64</v>
      </c>
      <c r="C55" s="392" t="s">
        <v>289</v>
      </c>
      <c r="D55" s="393" t="s">
        <v>165</v>
      </c>
      <c r="E55" s="393" t="s">
        <v>8</v>
      </c>
      <c r="F55" s="394">
        <v>409</v>
      </c>
      <c r="G55" s="395">
        <v>11</v>
      </c>
      <c r="H55" s="396">
        <v>1</v>
      </c>
      <c r="I55" s="397">
        <v>0.2208</v>
      </c>
      <c r="J55" s="398">
        <v>2627503</v>
      </c>
      <c r="K55" s="398">
        <v>580169</v>
      </c>
      <c r="L55" s="398">
        <v>0</v>
      </c>
      <c r="M55" s="398">
        <f t="shared" si="0"/>
        <v>2047334</v>
      </c>
      <c r="N55" s="399" t="s">
        <v>387</v>
      </c>
      <c r="O55" s="400" t="s">
        <v>176</v>
      </c>
      <c r="P55" s="401" t="s">
        <v>211</v>
      </c>
    </row>
    <row r="56" spans="1:16" s="157" customFormat="1" ht="16.5" thickBot="1">
      <c r="A56" s="402"/>
      <c r="B56" s="426"/>
      <c r="C56" s="404">
        <f>COUNT(A9:A55)</f>
        <v>47</v>
      </c>
      <c r="D56" s="403"/>
      <c r="E56" s="403"/>
      <c r="F56" s="403"/>
      <c r="G56" s="403"/>
      <c r="H56" s="403"/>
      <c r="I56" s="403"/>
      <c r="J56" s="405">
        <f>SUM(J9:J55)</f>
        <v>31792573</v>
      </c>
      <c r="K56" s="405">
        <f>SUM(K9:K55)</f>
        <v>24881106</v>
      </c>
      <c r="L56" s="405">
        <f>SUM(L9:L55)</f>
        <v>332052</v>
      </c>
      <c r="M56" s="405">
        <f>SUM(M9:M55)</f>
        <v>6576387</v>
      </c>
      <c r="N56" s="403"/>
      <c r="O56" s="403"/>
      <c r="P56" s="406"/>
    </row>
    <row r="57" spans="1:16" s="157" customFormat="1" ht="15.75">
      <c r="A57" s="311"/>
      <c r="B57" s="407"/>
      <c r="C57" s="311"/>
      <c r="D57" s="311"/>
      <c r="E57" s="311"/>
      <c r="F57" s="311"/>
      <c r="G57" s="311"/>
      <c r="H57" s="311"/>
      <c r="I57" s="311"/>
      <c r="J57" s="311"/>
      <c r="K57" s="311"/>
      <c r="L57" s="311"/>
      <c r="M57" s="311"/>
      <c r="N57" s="311"/>
      <c r="O57" s="311"/>
      <c r="P57" s="407"/>
    </row>
    <row r="58" spans="1:16" s="157" customFormat="1" ht="15.75">
      <c r="A58" s="311"/>
      <c r="B58" s="407"/>
      <c r="C58" s="311"/>
      <c r="D58" s="311"/>
      <c r="E58" s="311"/>
      <c r="F58" s="311"/>
      <c r="G58" s="311"/>
      <c r="H58" s="311"/>
      <c r="I58" s="311"/>
      <c r="J58" s="408"/>
      <c r="K58" s="409"/>
      <c r="L58" s="409"/>
      <c r="M58" s="408"/>
      <c r="N58" s="311"/>
      <c r="O58" s="311"/>
      <c r="P58" s="407"/>
    </row>
    <row r="59" spans="1:16" s="157" customFormat="1" ht="15.75">
      <c r="A59" s="311"/>
      <c r="B59" s="407"/>
      <c r="C59" s="311"/>
      <c r="D59" s="311"/>
      <c r="E59" s="311"/>
      <c r="F59" s="311"/>
      <c r="G59" s="311"/>
      <c r="H59" s="311"/>
      <c r="I59" s="311"/>
      <c r="J59" s="311"/>
      <c r="K59" s="311"/>
      <c r="L59" s="311"/>
      <c r="M59" s="311"/>
      <c r="N59" s="311"/>
      <c r="O59" s="311"/>
      <c r="P59" s="407"/>
    </row>
    <row r="60" spans="1:16" s="157" customFormat="1" ht="15.75">
      <c r="A60" s="311"/>
      <c r="B60" s="407"/>
      <c r="C60" s="311"/>
      <c r="D60" s="311"/>
      <c r="E60" s="311"/>
      <c r="F60" s="311"/>
      <c r="G60" s="311"/>
      <c r="H60" s="311"/>
      <c r="I60" s="311"/>
      <c r="J60" s="311"/>
      <c r="K60" s="311"/>
      <c r="L60" s="311"/>
      <c r="M60" s="311"/>
      <c r="N60" s="311"/>
      <c r="O60" s="311"/>
      <c r="P60" s="407"/>
    </row>
    <row r="61" spans="1:16" s="157" customFormat="1" ht="15.75">
      <c r="A61" s="311"/>
      <c r="B61" s="407"/>
      <c r="C61" s="311"/>
      <c r="D61" s="311"/>
      <c r="E61" s="311"/>
      <c r="F61" s="311"/>
      <c r="G61" s="311"/>
      <c r="H61" s="311"/>
      <c r="I61" s="311"/>
      <c r="J61" s="311"/>
      <c r="K61" s="311"/>
      <c r="L61" s="311"/>
      <c r="M61" s="311"/>
      <c r="N61" s="311"/>
      <c r="O61" s="311"/>
      <c r="P61" s="407"/>
    </row>
    <row r="62" spans="1:16" s="157" customFormat="1" ht="15.75">
      <c r="A62" s="311"/>
      <c r="B62" s="407"/>
      <c r="C62" s="311"/>
      <c r="D62" s="311"/>
      <c r="E62" s="311"/>
      <c r="F62" s="311"/>
      <c r="G62" s="311"/>
      <c r="H62" s="311"/>
      <c r="I62" s="311"/>
      <c r="J62" s="311"/>
      <c r="K62" s="311"/>
      <c r="L62" s="311"/>
      <c r="M62" s="311"/>
      <c r="N62" s="311"/>
      <c r="O62" s="311"/>
      <c r="P62" s="407"/>
    </row>
    <row r="63" spans="1:16" s="157" customFormat="1" ht="15.75">
      <c r="A63" s="311"/>
      <c r="B63" s="407"/>
      <c r="C63" s="311"/>
      <c r="D63" s="311"/>
      <c r="E63" s="311"/>
      <c r="F63" s="311"/>
      <c r="G63" s="311"/>
      <c r="H63" s="311"/>
      <c r="I63" s="311"/>
      <c r="J63" s="311"/>
      <c r="K63" s="311"/>
      <c r="L63" s="311"/>
      <c r="M63" s="311"/>
      <c r="N63" s="311"/>
      <c r="O63" s="311"/>
      <c r="P63" s="407"/>
    </row>
    <row r="64" spans="1:16" s="157" customFormat="1" ht="15.75">
      <c r="A64" s="311"/>
      <c r="B64" s="407"/>
      <c r="C64" s="311"/>
      <c r="D64" s="311"/>
      <c r="E64" s="311"/>
      <c r="F64" s="311"/>
      <c r="G64" s="311"/>
      <c r="H64" s="311"/>
      <c r="I64" s="311"/>
      <c r="J64" s="311"/>
      <c r="K64" s="311"/>
      <c r="L64" s="311"/>
      <c r="M64" s="311"/>
      <c r="N64" s="311"/>
      <c r="O64" s="311"/>
      <c r="P64" s="407"/>
    </row>
    <row r="65" spans="1:16" s="157" customFormat="1" ht="15.75">
      <c r="A65" s="311"/>
      <c r="B65" s="407"/>
      <c r="C65" s="311"/>
      <c r="D65" s="311"/>
      <c r="E65" s="311"/>
      <c r="F65" s="311"/>
      <c r="G65" s="311"/>
      <c r="H65" s="311"/>
      <c r="I65" s="311"/>
      <c r="J65" s="311"/>
      <c r="K65" s="311"/>
      <c r="L65" s="311"/>
      <c r="M65" s="311"/>
      <c r="N65" s="311"/>
      <c r="O65" s="311"/>
      <c r="P65" s="407"/>
    </row>
    <row r="66" spans="1:16" s="157" customFormat="1" ht="15.75">
      <c r="A66" s="311"/>
      <c r="B66" s="407"/>
      <c r="C66" s="311"/>
      <c r="D66" s="311"/>
      <c r="E66" s="311"/>
      <c r="F66" s="311"/>
      <c r="G66" s="311"/>
      <c r="H66" s="311"/>
      <c r="I66" s="311"/>
      <c r="J66" s="409"/>
      <c r="K66" s="311"/>
      <c r="L66" s="311"/>
      <c r="M66" s="311"/>
      <c r="N66" s="311"/>
      <c r="O66" s="311"/>
      <c r="P66" s="407"/>
    </row>
    <row r="67" spans="1:16" s="157" customFormat="1" ht="15.75">
      <c r="A67" s="311"/>
      <c r="B67" s="407"/>
      <c r="C67" s="311"/>
      <c r="D67" s="311"/>
      <c r="E67" s="311"/>
      <c r="F67" s="311"/>
      <c r="G67" s="311"/>
      <c r="H67" s="311"/>
      <c r="I67" s="311"/>
      <c r="J67" s="311"/>
      <c r="K67" s="311"/>
      <c r="L67" s="311"/>
      <c r="M67" s="311"/>
      <c r="N67" s="311"/>
      <c r="O67" s="311"/>
      <c r="P67" s="407"/>
    </row>
    <row r="68" spans="1:16" s="157" customFormat="1" ht="15.75">
      <c r="A68" s="311"/>
      <c r="B68" s="407"/>
      <c r="C68" s="311"/>
      <c r="D68" s="311"/>
      <c r="E68" s="311"/>
      <c r="F68" s="311"/>
      <c r="G68" s="311"/>
      <c r="H68" s="311"/>
      <c r="I68" s="311"/>
      <c r="J68" s="311"/>
      <c r="K68" s="311"/>
      <c r="L68" s="311"/>
      <c r="M68" s="311"/>
      <c r="N68" s="311"/>
      <c r="O68" s="311"/>
      <c r="P68" s="407"/>
    </row>
    <row r="69" spans="1:16" s="157" customFormat="1" ht="15.75">
      <c r="A69" s="311"/>
      <c r="B69" s="407"/>
      <c r="C69" s="311"/>
      <c r="D69" s="311"/>
      <c r="E69" s="311"/>
      <c r="F69" s="311"/>
      <c r="G69" s="311"/>
      <c r="H69" s="311"/>
      <c r="I69" s="311"/>
      <c r="J69" s="311"/>
      <c r="K69" s="311"/>
      <c r="L69" s="311"/>
      <c r="M69" s="311"/>
      <c r="N69" s="311"/>
      <c r="O69" s="311"/>
      <c r="P69" s="407"/>
    </row>
    <row r="70" spans="1:16" s="157" customFormat="1" ht="15.75">
      <c r="A70" s="311"/>
      <c r="B70" s="407"/>
      <c r="C70" s="311"/>
      <c r="D70" s="311"/>
      <c r="E70" s="311"/>
      <c r="F70" s="311"/>
      <c r="G70" s="311"/>
      <c r="H70" s="311"/>
      <c r="I70" s="311"/>
      <c r="J70" s="311"/>
      <c r="K70" s="311"/>
      <c r="L70" s="311"/>
      <c r="M70" s="311"/>
      <c r="N70" s="311"/>
      <c r="O70" s="311"/>
      <c r="P70" s="407"/>
    </row>
    <row r="71" spans="1:16" s="157" customFormat="1" ht="15.75">
      <c r="A71" s="311"/>
      <c r="B71" s="407"/>
      <c r="C71" s="311"/>
      <c r="D71" s="311"/>
      <c r="E71" s="311"/>
      <c r="F71" s="311"/>
      <c r="G71" s="311"/>
      <c r="H71" s="311"/>
      <c r="I71" s="311"/>
      <c r="J71" s="311"/>
      <c r="K71" s="311"/>
      <c r="L71" s="311"/>
      <c r="M71" s="311"/>
      <c r="N71" s="311"/>
      <c r="O71" s="311"/>
      <c r="P71" s="407"/>
    </row>
    <row r="72" spans="1:16" s="157" customFormat="1" ht="15.75">
      <c r="A72" s="311"/>
      <c r="B72" s="407"/>
      <c r="C72" s="311"/>
      <c r="D72" s="311"/>
      <c r="E72" s="311"/>
      <c r="F72" s="311"/>
      <c r="G72" s="311"/>
      <c r="H72" s="311"/>
      <c r="I72" s="311"/>
      <c r="J72" s="311"/>
      <c r="K72" s="311"/>
      <c r="L72" s="311"/>
      <c r="M72" s="311"/>
      <c r="N72" s="311"/>
      <c r="O72" s="311"/>
      <c r="P72" s="407"/>
    </row>
    <row r="73" spans="1:16" s="157" customFormat="1" ht="15.75">
      <c r="A73" s="311"/>
      <c r="B73" s="407"/>
      <c r="C73" s="311"/>
      <c r="D73" s="311"/>
      <c r="E73" s="311"/>
      <c r="F73" s="311"/>
      <c r="G73" s="311"/>
      <c r="H73" s="311"/>
      <c r="I73" s="311"/>
      <c r="J73" s="311"/>
      <c r="K73" s="311"/>
      <c r="L73" s="311"/>
      <c r="M73" s="311"/>
      <c r="N73" s="311"/>
      <c r="O73" s="311"/>
      <c r="P73" s="407"/>
    </row>
    <row r="74" spans="1:16" s="157" customFormat="1" ht="15.75">
      <c r="A74" s="311"/>
      <c r="B74" s="407"/>
      <c r="C74" s="311"/>
      <c r="D74" s="311"/>
      <c r="E74" s="311"/>
      <c r="F74" s="311"/>
      <c r="G74" s="311"/>
      <c r="H74" s="311"/>
      <c r="I74" s="311"/>
      <c r="J74" s="311"/>
      <c r="K74" s="311"/>
      <c r="L74" s="311"/>
      <c r="M74" s="311"/>
      <c r="N74" s="311"/>
      <c r="O74" s="311"/>
      <c r="P74" s="407"/>
    </row>
    <row r="75" spans="1:16" s="157" customFormat="1" ht="15.75">
      <c r="A75" s="311"/>
      <c r="B75" s="407"/>
      <c r="C75" s="311"/>
      <c r="D75" s="311"/>
      <c r="E75" s="311"/>
      <c r="F75" s="311"/>
      <c r="G75" s="311"/>
      <c r="H75" s="311"/>
      <c r="I75" s="311"/>
      <c r="J75" s="311"/>
      <c r="K75" s="311"/>
      <c r="L75" s="311"/>
      <c r="M75" s="311"/>
      <c r="N75" s="311"/>
      <c r="O75" s="311"/>
      <c r="P75" s="407"/>
    </row>
    <row r="76" spans="1:16" s="157" customFormat="1" ht="15.75">
      <c r="A76" s="311"/>
      <c r="B76" s="407"/>
      <c r="C76" s="311"/>
      <c r="D76" s="311"/>
      <c r="E76" s="311"/>
      <c r="F76" s="311"/>
      <c r="G76" s="311"/>
      <c r="H76" s="311"/>
      <c r="I76" s="311"/>
      <c r="J76" s="311"/>
      <c r="K76" s="311"/>
      <c r="L76" s="311"/>
      <c r="M76" s="311"/>
      <c r="N76" s="311"/>
      <c r="O76" s="311"/>
      <c r="P76" s="407"/>
    </row>
    <row r="77" spans="1:16" s="157" customFormat="1" ht="15.75">
      <c r="A77" s="311"/>
      <c r="B77" s="407"/>
      <c r="C77" s="311"/>
      <c r="D77" s="311"/>
      <c r="E77" s="311"/>
      <c r="F77" s="311"/>
      <c r="G77" s="311"/>
      <c r="H77" s="311"/>
      <c r="I77" s="311"/>
      <c r="J77" s="311"/>
      <c r="K77" s="311"/>
      <c r="L77" s="311"/>
      <c r="M77" s="311"/>
      <c r="N77" s="311"/>
      <c r="O77" s="311"/>
      <c r="P77" s="407"/>
    </row>
    <row r="78" spans="1:16" s="157" customFormat="1" ht="15.75">
      <c r="A78" s="311"/>
      <c r="B78" s="407"/>
      <c r="C78" s="311"/>
      <c r="D78" s="311"/>
      <c r="E78" s="311"/>
      <c r="F78" s="311"/>
      <c r="G78" s="311"/>
      <c r="H78" s="311"/>
      <c r="I78" s="311"/>
      <c r="J78" s="311"/>
      <c r="K78" s="311"/>
      <c r="L78" s="311"/>
      <c r="M78" s="311"/>
      <c r="N78" s="311"/>
      <c r="O78" s="311"/>
      <c r="P78" s="407"/>
    </row>
    <row r="79" spans="1:16" s="157" customFormat="1" ht="15.75">
      <c r="A79" s="311"/>
      <c r="B79" s="407"/>
      <c r="C79" s="311"/>
      <c r="D79" s="311"/>
      <c r="E79" s="311"/>
      <c r="F79" s="311"/>
      <c r="G79" s="311"/>
      <c r="H79" s="311"/>
      <c r="I79" s="311"/>
      <c r="J79" s="311"/>
      <c r="K79" s="311"/>
      <c r="L79" s="311"/>
      <c r="M79" s="311"/>
      <c r="N79" s="311"/>
      <c r="O79" s="311"/>
      <c r="P79" s="407"/>
    </row>
    <row r="80" spans="1:16" s="157" customFormat="1" ht="15.75">
      <c r="A80" s="311"/>
      <c r="B80" s="407"/>
      <c r="C80" s="311"/>
      <c r="D80" s="311"/>
      <c r="E80" s="311"/>
      <c r="F80" s="311"/>
      <c r="G80" s="311"/>
      <c r="H80" s="311"/>
      <c r="I80" s="311"/>
      <c r="J80" s="311"/>
      <c r="K80" s="311"/>
      <c r="L80" s="311"/>
      <c r="M80" s="311"/>
      <c r="N80" s="311"/>
      <c r="O80" s="311"/>
      <c r="P80" s="407"/>
    </row>
    <row r="81" spans="1:16" s="157" customFormat="1" ht="15.75">
      <c r="A81" s="311"/>
      <c r="B81" s="407"/>
      <c r="C81" s="311"/>
      <c r="D81" s="311"/>
      <c r="E81" s="311"/>
      <c r="F81" s="311"/>
      <c r="G81" s="311"/>
      <c r="H81" s="311"/>
      <c r="I81" s="311"/>
      <c r="J81" s="311"/>
      <c r="K81" s="311"/>
      <c r="L81" s="311"/>
      <c r="M81" s="311"/>
      <c r="N81" s="311"/>
      <c r="O81" s="311"/>
      <c r="P81" s="407"/>
    </row>
    <row r="82" spans="1:16" s="157" customFormat="1" ht="15.75">
      <c r="A82" s="311"/>
      <c r="B82" s="407"/>
      <c r="C82" s="311"/>
      <c r="D82" s="311"/>
      <c r="E82" s="311"/>
      <c r="F82" s="311"/>
      <c r="G82" s="311"/>
      <c r="H82" s="311"/>
      <c r="I82" s="311"/>
      <c r="J82" s="311"/>
      <c r="K82" s="311"/>
      <c r="L82" s="311"/>
      <c r="M82" s="311"/>
      <c r="N82" s="311"/>
      <c r="O82" s="311"/>
      <c r="P82" s="407"/>
    </row>
    <row r="83" spans="1:16" s="157" customFormat="1" ht="15.75">
      <c r="A83" s="311"/>
      <c r="B83" s="407"/>
      <c r="C83" s="311"/>
      <c r="D83" s="311"/>
      <c r="E83" s="311"/>
      <c r="F83" s="311"/>
      <c r="G83" s="311"/>
      <c r="H83" s="311"/>
      <c r="I83" s="311"/>
      <c r="J83" s="311"/>
      <c r="K83" s="311"/>
      <c r="L83" s="311"/>
      <c r="M83" s="311"/>
      <c r="N83" s="311"/>
      <c r="O83" s="311"/>
      <c r="P83" s="407"/>
    </row>
    <row r="84" spans="1:16" s="157" customFormat="1" ht="15.75">
      <c r="A84" s="311"/>
      <c r="B84" s="407"/>
      <c r="C84" s="311"/>
      <c r="D84" s="311"/>
      <c r="E84" s="311"/>
      <c r="F84" s="311"/>
      <c r="G84" s="311"/>
      <c r="H84" s="311"/>
      <c r="I84" s="311"/>
      <c r="J84" s="311"/>
      <c r="K84" s="311"/>
      <c r="L84" s="311"/>
      <c r="M84" s="311"/>
      <c r="N84" s="311"/>
      <c r="O84" s="311"/>
      <c r="P84" s="407"/>
    </row>
    <row r="85" spans="1:16" s="157" customFormat="1" ht="15.75">
      <c r="A85" s="311"/>
      <c r="B85" s="407"/>
      <c r="C85" s="311"/>
      <c r="D85" s="311"/>
      <c r="E85" s="311"/>
      <c r="F85" s="311"/>
      <c r="G85" s="311"/>
      <c r="H85" s="311"/>
      <c r="I85" s="311"/>
      <c r="J85" s="311"/>
      <c r="K85" s="311"/>
      <c r="L85" s="311"/>
      <c r="M85" s="311"/>
      <c r="N85" s="311"/>
      <c r="O85" s="311"/>
      <c r="P85" s="407"/>
    </row>
    <row r="86" spans="1:16" s="157" customFormat="1" ht="15.75">
      <c r="A86" s="311"/>
      <c r="B86" s="407"/>
      <c r="C86" s="311"/>
      <c r="D86" s="311"/>
      <c r="E86" s="311"/>
      <c r="F86" s="311"/>
      <c r="G86" s="311"/>
      <c r="H86" s="311"/>
      <c r="I86" s="311"/>
      <c r="J86" s="311"/>
      <c r="K86" s="311"/>
      <c r="L86" s="311"/>
      <c r="M86" s="311"/>
      <c r="N86" s="311"/>
      <c r="O86" s="311"/>
      <c r="P86" s="407"/>
    </row>
    <row r="87" spans="1:16" s="157" customFormat="1" ht="15.75">
      <c r="A87" s="311"/>
      <c r="B87" s="407"/>
      <c r="C87" s="311"/>
      <c r="D87" s="311"/>
      <c r="E87" s="311"/>
      <c r="F87" s="311"/>
      <c r="G87" s="311"/>
      <c r="H87" s="311"/>
      <c r="I87" s="311"/>
      <c r="J87" s="311"/>
      <c r="K87" s="311"/>
      <c r="L87" s="311"/>
      <c r="M87" s="311"/>
      <c r="N87" s="311"/>
      <c r="O87" s="311"/>
      <c r="P87" s="407"/>
    </row>
    <row r="88" spans="1:16" s="157" customFormat="1" ht="15.75">
      <c r="A88" s="311"/>
      <c r="B88" s="407"/>
      <c r="C88" s="311"/>
      <c r="D88" s="311"/>
      <c r="E88" s="311"/>
      <c r="F88" s="311"/>
      <c r="G88" s="311"/>
      <c r="H88" s="311"/>
      <c r="I88" s="311"/>
      <c r="J88" s="311"/>
      <c r="K88" s="311"/>
      <c r="L88" s="311"/>
      <c r="M88" s="311"/>
      <c r="N88" s="311"/>
      <c r="O88" s="311"/>
      <c r="P88" s="407"/>
    </row>
    <row r="89" spans="1:16" s="157" customFormat="1" ht="15.75">
      <c r="A89" s="311"/>
      <c r="B89" s="407"/>
      <c r="C89" s="311"/>
      <c r="D89" s="311"/>
      <c r="E89" s="311"/>
      <c r="F89" s="311"/>
      <c r="G89" s="311"/>
      <c r="H89" s="311"/>
      <c r="I89" s="311"/>
      <c r="J89" s="311"/>
      <c r="K89" s="311"/>
      <c r="L89" s="311"/>
      <c r="M89" s="311"/>
      <c r="N89" s="311"/>
      <c r="O89" s="311"/>
      <c r="P89" s="407"/>
    </row>
    <row r="90" spans="1:16" s="157" customFormat="1" ht="15.75">
      <c r="A90" s="311"/>
      <c r="B90" s="407"/>
      <c r="C90" s="311"/>
      <c r="D90" s="311"/>
      <c r="E90" s="311"/>
      <c r="F90" s="311"/>
      <c r="G90" s="311"/>
      <c r="H90" s="311"/>
      <c r="I90" s="311"/>
      <c r="J90" s="311"/>
      <c r="K90" s="311"/>
      <c r="L90" s="311"/>
      <c r="M90" s="311"/>
      <c r="N90" s="311"/>
      <c r="O90" s="311"/>
      <c r="P90" s="407"/>
    </row>
    <row r="91" spans="1:16" s="157" customFormat="1" ht="15.75">
      <c r="A91" s="311"/>
      <c r="B91" s="407"/>
      <c r="C91" s="311"/>
      <c r="D91" s="311"/>
      <c r="E91" s="311"/>
      <c r="F91" s="311"/>
      <c r="G91" s="311"/>
      <c r="H91" s="311"/>
      <c r="I91" s="311"/>
      <c r="J91" s="311"/>
      <c r="K91" s="311"/>
      <c r="L91" s="311"/>
      <c r="M91" s="311"/>
      <c r="N91" s="311"/>
      <c r="O91" s="311"/>
      <c r="P91" s="407"/>
    </row>
    <row r="92" spans="1:16" s="157" customFormat="1" ht="15.75">
      <c r="A92" s="311"/>
      <c r="B92" s="407"/>
      <c r="C92" s="311"/>
      <c r="D92" s="311"/>
      <c r="E92" s="311"/>
      <c r="F92" s="311"/>
      <c r="G92" s="311"/>
      <c r="H92" s="311"/>
      <c r="I92" s="311"/>
      <c r="J92" s="311"/>
      <c r="K92" s="311"/>
      <c r="L92" s="311"/>
      <c r="M92" s="311"/>
      <c r="N92" s="311"/>
      <c r="O92" s="311"/>
      <c r="P92" s="407"/>
    </row>
    <row r="93" spans="1:16" s="157" customFormat="1" ht="15.75">
      <c r="A93" s="311"/>
      <c r="B93" s="407"/>
      <c r="C93" s="311"/>
      <c r="D93" s="311"/>
      <c r="E93" s="311"/>
      <c r="F93" s="311"/>
      <c r="G93" s="311"/>
      <c r="H93" s="311"/>
      <c r="I93" s="311"/>
      <c r="J93" s="311"/>
      <c r="K93" s="311"/>
      <c r="L93" s="311"/>
      <c r="M93" s="311"/>
      <c r="N93" s="311"/>
      <c r="O93" s="311"/>
      <c r="P93" s="407"/>
    </row>
    <row r="94" spans="1:16" s="157" customFormat="1" ht="15.75">
      <c r="A94" s="311"/>
      <c r="B94" s="407"/>
      <c r="C94" s="311"/>
      <c r="D94" s="311"/>
      <c r="E94" s="311"/>
      <c r="F94" s="311"/>
      <c r="G94" s="311"/>
      <c r="H94" s="311"/>
      <c r="I94" s="311"/>
      <c r="J94" s="311"/>
      <c r="K94" s="311"/>
      <c r="L94" s="311"/>
      <c r="M94" s="311"/>
      <c r="N94" s="311"/>
      <c r="O94" s="311"/>
      <c r="P94" s="407"/>
    </row>
    <row r="95" spans="1:16" s="157" customFormat="1" ht="15.75">
      <c r="A95" s="311"/>
      <c r="B95" s="407"/>
      <c r="C95" s="311"/>
      <c r="D95" s="311"/>
      <c r="E95" s="311"/>
      <c r="F95" s="311"/>
      <c r="G95" s="311"/>
      <c r="H95" s="311"/>
      <c r="I95" s="311"/>
      <c r="J95" s="311"/>
      <c r="K95" s="311"/>
      <c r="L95" s="311"/>
      <c r="M95" s="311"/>
      <c r="N95" s="311"/>
      <c r="O95" s="311"/>
      <c r="P95" s="407"/>
    </row>
    <row r="96" spans="1:16" s="157" customFormat="1" ht="15.75">
      <c r="A96" s="311"/>
      <c r="B96" s="407"/>
      <c r="C96" s="311"/>
      <c r="D96" s="311"/>
      <c r="E96" s="311"/>
      <c r="F96" s="311"/>
      <c r="G96" s="311"/>
      <c r="H96" s="311"/>
      <c r="I96" s="311"/>
      <c r="J96" s="311"/>
      <c r="K96" s="311"/>
      <c r="L96" s="311"/>
      <c r="M96" s="311"/>
      <c r="N96" s="311"/>
      <c r="O96" s="311"/>
      <c r="P96" s="407"/>
    </row>
    <row r="97" spans="1:16" s="157" customFormat="1" ht="15.75">
      <c r="A97" s="311"/>
      <c r="B97" s="407"/>
      <c r="C97" s="311"/>
      <c r="D97" s="311"/>
      <c r="E97" s="311"/>
      <c r="F97" s="311"/>
      <c r="G97" s="311"/>
      <c r="H97" s="311"/>
      <c r="I97" s="311"/>
      <c r="J97" s="311"/>
      <c r="K97" s="311"/>
      <c r="L97" s="311"/>
      <c r="M97" s="311"/>
      <c r="N97" s="311"/>
      <c r="O97" s="311"/>
      <c r="P97" s="407"/>
    </row>
    <row r="98" spans="1:16" s="157" customFormat="1" ht="15.75">
      <c r="A98" s="311"/>
      <c r="B98" s="407"/>
      <c r="C98" s="311"/>
      <c r="D98" s="311"/>
      <c r="E98" s="311"/>
      <c r="F98" s="311"/>
      <c r="G98" s="311"/>
      <c r="H98" s="311"/>
      <c r="I98" s="311"/>
      <c r="J98" s="311"/>
      <c r="K98" s="311"/>
      <c r="L98" s="311"/>
      <c r="M98" s="311"/>
      <c r="N98" s="311"/>
      <c r="O98" s="311"/>
      <c r="P98" s="407"/>
    </row>
    <row r="99" spans="1:16" s="157" customFormat="1" ht="15.75">
      <c r="A99" s="311"/>
      <c r="B99" s="407"/>
      <c r="C99" s="311"/>
      <c r="D99" s="311"/>
      <c r="E99" s="311"/>
      <c r="F99" s="311"/>
      <c r="G99" s="311"/>
      <c r="H99" s="311"/>
      <c r="I99" s="311"/>
      <c r="J99" s="311"/>
      <c r="K99" s="311"/>
      <c r="L99" s="311"/>
      <c r="M99" s="311"/>
      <c r="N99" s="311"/>
      <c r="O99" s="311"/>
      <c r="P99" s="407"/>
    </row>
    <row r="100" spans="1:16" s="157" customFormat="1" ht="15.75">
      <c r="A100" s="311"/>
      <c r="B100" s="407"/>
      <c r="C100" s="311"/>
      <c r="D100" s="311"/>
      <c r="E100" s="311"/>
      <c r="F100" s="311"/>
      <c r="G100" s="311"/>
      <c r="H100" s="311"/>
      <c r="I100" s="311"/>
      <c r="J100" s="311"/>
      <c r="K100" s="311"/>
      <c r="L100" s="311"/>
      <c r="M100" s="311"/>
      <c r="N100" s="311"/>
      <c r="O100" s="311"/>
      <c r="P100" s="407"/>
    </row>
    <row r="101" spans="1:16" s="157" customFormat="1" ht="15.75">
      <c r="A101" s="311"/>
      <c r="B101" s="407"/>
      <c r="C101" s="311"/>
      <c r="D101" s="311"/>
      <c r="E101" s="311"/>
      <c r="F101" s="311"/>
      <c r="G101" s="311"/>
      <c r="H101" s="311"/>
      <c r="I101" s="311"/>
      <c r="J101" s="311"/>
      <c r="K101" s="311"/>
      <c r="L101" s="311"/>
      <c r="M101" s="311"/>
      <c r="N101" s="311"/>
      <c r="O101" s="311"/>
      <c r="P101" s="407"/>
    </row>
    <row r="102" spans="1:16" s="157" customFormat="1" ht="15.75">
      <c r="A102" s="311"/>
      <c r="B102" s="407"/>
      <c r="C102" s="311"/>
      <c r="D102" s="311"/>
      <c r="E102" s="311"/>
      <c r="F102" s="311"/>
      <c r="G102" s="311"/>
      <c r="H102" s="311"/>
      <c r="I102" s="311"/>
      <c r="J102" s="311"/>
      <c r="K102" s="311"/>
      <c r="L102" s="311"/>
      <c r="M102" s="311"/>
      <c r="N102" s="311"/>
      <c r="O102" s="311"/>
      <c r="P102" s="407"/>
    </row>
    <row r="103" spans="1:16" s="157" customFormat="1" ht="15.75">
      <c r="A103" s="311"/>
      <c r="B103" s="407"/>
      <c r="C103" s="311"/>
      <c r="D103" s="311"/>
      <c r="E103" s="311"/>
      <c r="F103" s="311"/>
      <c r="G103" s="311"/>
      <c r="H103" s="311"/>
      <c r="I103" s="311"/>
      <c r="J103" s="311"/>
      <c r="K103" s="311"/>
      <c r="L103" s="311"/>
      <c r="M103" s="311"/>
      <c r="N103" s="311"/>
      <c r="O103" s="311"/>
      <c r="P103" s="407"/>
    </row>
    <row r="104" spans="1:16" s="157" customFormat="1" ht="15.75">
      <c r="A104" s="311"/>
      <c r="B104" s="407"/>
      <c r="C104" s="311"/>
      <c r="D104" s="311"/>
      <c r="E104" s="311"/>
      <c r="F104" s="311"/>
      <c r="G104" s="311"/>
      <c r="H104" s="311"/>
      <c r="I104" s="311"/>
      <c r="J104" s="311"/>
      <c r="K104" s="311"/>
      <c r="L104" s="311"/>
      <c r="M104" s="311"/>
      <c r="N104" s="311"/>
      <c r="O104" s="311"/>
      <c r="P104" s="407"/>
    </row>
    <row r="105" spans="1:16" s="157" customFormat="1" ht="15.75">
      <c r="A105" s="311"/>
      <c r="B105" s="407"/>
      <c r="C105" s="311"/>
      <c r="D105" s="311"/>
      <c r="E105" s="311"/>
      <c r="F105" s="311"/>
      <c r="G105" s="311"/>
      <c r="H105" s="311"/>
      <c r="I105" s="311"/>
      <c r="J105" s="311"/>
      <c r="K105" s="311"/>
      <c r="L105" s="311"/>
      <c r="M105" s="311"/>
      <c r="N105" s="311"/>
      <c r="O105" s="311"/>
      <c r="P105" s="407"/>
    </row>
    <row r="106" spans="1:16" s="157" customFormat="1" ht="15.75">
      <c r="A106" s="311"/>
      <c r="B106" s="407"/>
      <c r="C106" s="311"/>
      <c r="D106" s="311"/>
      <c r="E106" s="311"/>
      <c r="F106" s="311"/>
      <c r="G106" s="311"/>
      <c r="H106" s="311"/>
      <c r="I106" s="311"/>
      <c r="J106" s="311"/>
      <c r="K106" s="311"/>
      <c r="L106" s="311"/>
      <c r="M106" s="311"/>
      <c r="N106" s="311"/>
      <c r="O106" s="311"/>
      <c r="P106" s="407"/>
    </row>
    <row r="107" spans="1:16" s="157" customFormat="1" ht="15.75">
      <c r="A107" s="311"/>
      <c r="B107" s="407"/>
      <c r="C107" s="311"/>
      <c r="D107" s="311"/>
      <c r="E107" s="311"/>
      <c r="F107" s="311"/>
      <c r="G107" s="311"/>
      <c r="H107" s="311"/>
      <c r="I107" s="311"/>
      <c r="J107" s="311"/>
      <c r="K107" s="311"/>
      <c r="L107" s="311"/>
      <c r="M107" s="311"/>
      <c r="N107" s="311"/>
      <c r="O107" s="311"/>
      <c r="P107" s="407"/>
    </row>
    <row r="108" spans="1:16" s="157" customFormat="1" ht="15.75">
      <c r="A108" s="311"/>
      <c r="B108" s="407"/>
      <c r="C108" s="311"/>
      <c r="D108" s="311"/>
      <c r="E108" s="311"/>
      <c r="F108" s="311"/>
      <c r="G108" s="311"/>
      <c r="H108" s="311"/>
      <c r="I108" s="311"/>
      <c r="J108" s="311"/>
      <c r="K108" s="311"/>
      <c r="L108" s="311"/>
      <c r="M108" s="311"/>
      <c r="N108" s="311"/>
      <c r="O108" s="311"/>
      <c r="P108" s="407"/>
    </row>
    <row r="109" spans="1:16" s="157" customFormat="1" ht="15.75">
      <c r="A109" s="311"/>
      <c r="B109" s="407"/>
      <c r="C109" s="311"/>
      <c r="D109" s="311"/>
      <c r="E109" s="311"/>
      <c r="F109" s="311"/>
      <c r="G109" s="311"/>
      <c r="H109" s="311"/>
      <c r="I109" s="311"/>
      <c r="J109" s="311"/>
      <c r="K109" s="311"/>
      <c r="L109" s="311"/>
      <c r="M109" s="311"/>
      <c r="N109" s="311"/>
      <c r="O109" s="311"/>
      <c r="P109" s="407"/>
    </row>
    <row r="110" spans="1:16" s="157" customFormat="1" ht="15.75">
      <c r="A110" s="311"/>
      <c r="B110" s="407"/>
      <c r="C110" s="311"/>
      <c r="D110" s="311"/>
      <c r="E110" s="311"/>
      <c r="F110" s="311"/>
      <c r="G110" s="311"/>
      <c r="H110" s="311"/>
      <c r="I110" s="311"/>
      <c r="J110" s="311"/>
      <c r="K110" s="311"/>
      <c r="L110" s="311"/>
      <c r="M110" s="311"/>
      <c r="N110" s="311"/>
      <c r="O110" s="311"/>
      <c r="P110" s="407"/>
    </row>
    <row r="111" spans="1:16" s="157" customFormat="1" ht="15.75">
      <c r="A111" s="311"/>
      <c r="B111" s="407"/>
      <c r="C111" s="311"/>
      <c r="D111" s="311"/>
      <c r="E111" s="311"/>
      <c r="F111" s="311"/>
      <c r="G111" s="311"/>
      <c r="H111" s="311"/>
      <c r="I111" s="311"/>
      <c r="J111" s="311"/>
      <c r="K111" s="311"/>
      <c r="L111" s="311"/>
      <c r="M111" s="311"/>
      <c r="N111" s="311"/>
      <c r="O111" s="311"/>
      <c r="P111" s="407"/>
    </row>
    <row r="112" spans="1:16" s="157" customFormat="1" ht="15.75">
      <c r="A112" s="311"/>
      <c r="B112" s="407"/>
      <c r="C112" s="311"/>
      <c r="D112" s="311"/>
      <c r="E112" s="311"/>
      <c r="F112" s="311"/>
      <c r="G112" s="311"/>
      <c r="H112" s="311"/>
      <c r="I112" s="311"/>
      <c r="J112" s="311"/>
      <c r="K112" s="311"/>
      <c r="L112" s="311"/>
      <c r="M112" s="311"/>
      <c r="N112" s="311"/>
      <c r="O112" s="311"/>
      <c r="P112" s="407"/>
    </row>
    <row r="113" spans="1:16" s="157" customFormat="1" ht="15.75">
      <c r="A113" s="311"/>
      <c r="B113" s="407"/>
      <c r="C113" s="311"/>
      <c r="D113" s="311"/>
      <c r="E113" s="311"/>
      <c r="F113" s="311"/>
      <c r="G113" s="311"/>
      <c r="H113" s="311"/>
      <c r="I113" s="311"/>
      <c r="J113" s="311"/>
      <c r="K113" s="311"/>
      <c r="L113" s="311"/>
      <c r="M113" s="311"/>
      <c r="N113" s="311"/>
      <c r="O113" s="311"/>
      <c r="P113" s="407"/>
    </row>
    <row r="114" spans="1:16" s="157" customFormat="1" ht="15.75">
      <c r="A114" s="311"/>
      <c r="B114" s="407"/>
      <c r="C114" s="311"/>
      <c r="D114" s="311"/>
      <c r="E114" s="311"/>
      <c r="F114" s="311"/>
      <c r="G114" s="311"/>
      <c r="H114" s="311"/>
      <c r="I114" s="311"/>
      <c r="J114" s="311"/>
      <c r="K114" s="311"/>
      <c r="L114" s="311"/>
      <c r="M114" s="311"/>
      <c r="N114" s="311"/>
      <c r="O114" s="311"/>
      <c r="P114" s="407"/>
    </row>
    <row r="115" spans="1:16" s="157" customFormat="1" ht="15.75">
      <c r="A115" s="311"/>
      <c r="B115" s="407"/>
      <c r="C115" s="311"/>
      <c r="D115" s="311"/>
      <c r="E115" s="311"/>
      <c r="F115" s="311"/>
      <c r="G115" s="311"/>
      <c r="H115" s="311"/>
      <c r="I115" s="311"/>
      <c r="J115" s="311"/>
      <c r="K115" s="311"/>
      <c r="L115" s="311"/>
      <c r="M115" s="311"/>
      <c r="N115" s="311"/>
      <c r="O115" s="311"/>
      <c r="P115" s="407"/>
    </row>
    <row r="116" spans="1:16" s="157" customFormat="1" ht="15.75">
      <c r="A116" s="311"/>
      <c r="B116" s="407"/>
      <c r="C116" s="311"/>
      <c r="D116" s="311"/>
      <c r="E116" s="311"/>
      <c r="F116" s="311"/>
      <c r="G116" s="311"/>
      <c r="H116" s="311"/>
      <c r="I116" s="311"/>
      <c r="J116" s="311"/>
      <c r="K116" s="311"/>
      <c r="L116" s="311"/>
      <c r="M116" s="311"/>
      <c r="N116" s="311"/>
      <c r="O116" s="311"/>
      <c r="P116" s="407"/>
    </row>
    <row r="117" spans="1:16" s="157" customFormat="1" ht="15.75">
      <c r="A117" s="311"/>
      <c r="B117" s="407"/>
      <c r="C117" s="311"/>
      <c r="D117" s="311"/>
      <c r="E117" s="311"/>
      <c r="F117" s="311"/>
      <c r="G117" s="311"/>
      <c r="H117" s="311"/>
      <c r="I117" s="311"/>
      <c r="J117" s="311"/>
      <c r="K117" s="311"/>
      <c r="L117" s="311"/>
      <c r="M117" s="311"/>
      <c r="N117" s="311"/>
      <c r="O117" s="311"/>
      <c r="P117" s="407"/>
    </row>
    <row r="118" spans="1:16" s="157" customFormat="1" ht="15.75">
      <c r="A118" s="311"/>
      <c r="B118" s="407"/>
      <c r="C118" s="311"/>
      <c r="D118" s="311"/>
      <c r="E118" s="311"/>
      <c r="F118" s="311"/>
      <c r="G118" s="311"/>
      <c r="H118" s="311"/>
      <c r="I118" s="311"/>
      <c r="J118" s="311"/>
      <c r="K118" s="311"/>
      <c r="L118" s="311"/>
      <c r="M118" s="311"/>
      <c r="N118" s="311"/>
      <c r="O118" s="311"/>
      <c r="P118" s="407"/>
    </row>
    <row r="119" spans="1:16" s="157" customFormat="1" ht="15.75">
      <c r="A119" s="311"/>
      <c r="B119" s="407"/>
      <c r="C119" s="311"/>
      <c r="D119" s="311"/>
      <c r="E119" s="311"/>
      <c r="F119" s="311"/>
      <c r="G119" s="311"/>
      <c r="H119" s="311"/>
      <c r="I119" s="311"/>
      <c r="J119" s="311"/>
      <c r="K119" s="311"/>
      <c r="L119" s="311"/>
      <c r="M119" s="311"/>
      <c r="N119" s="311"/>
      <c r="O119" s="311"/>
      <c r="P119" s="407"/>
    </row>
    <row r="120" spans="1:16" s="157" customFormat="1" ht="15.75">
      <c r="A120" s="311"/>
      <c r="B120" s="407"/>
      <c r="C120" s="311"/>
      <c r="D120" s="311"/>
      <c r="E120" s="311"/>
      <c r="F120" s="311"/>
      <c r="G120" s="311"/>
      <c r="H120" s="311"/>
      <c r="I120" s="311"/>
      <c r="J120" s="311"/>
      <c r="K120" s="311"/>
      <c r="L120" s="311"/>
      <c r="M120" s="311"/>
      <c r="N120" s="311"/>
      <c r="O120" s="311"/>
      <c r="P120" s="407"/>
    </row>
    <row r="121" spans="1:16" s="157" customFormat="1" ht="15.75">
      <c r="A121" s="311"/>
      <c r="B121" s="407"/>
      <c r="C121" s="311"/>
      <c r="D121" s="311"/>
      <c r="E121" s="311"/>
      <c r="F121" s="311"/>
      <c r="G121" s="311"/>
      <c r="H121" s="311"/>
      <c r="I121" s="311"/>
      <c r="J121" s="311"/>
      <c r="K121" s="311"/>
      <c r="L121" s="311"/>
      <c r="M121" s="311"/>
      <c r="N121" s="311"/>
      <c r="O121" s="311"/>
      <c r="P121" s="407"/>
    </row>
    <row r="122" spans="1:16" s="157" customFormat="1" ht="15.75">
      <c r="A122" s="311"/>
      <c r="B122" s="407"/>
      <c r="C122" s="311"/>
      <c r="D122" s="311"/>
      <c r="E122" s="311"/>
      <c r="F122" s="311"/>
      <c r="G122" s="311"/>
      <c r="H122" s="311"/>
      <c r="I122" s="311"/>
      <c r="J122" s="311"/>
      <c r="K122" s="311"/>
      <c r="L122" s="311"/>
      <c r="M122" s="311"/>
      <c r="N122" s="311"/>
      <c r="O122" s="311"/>
      <c r="P122" s="407"/>
    </row>
    <row r="123" spans="1:16" s="157" customFormat="1" ht="15.75">
      <c r="A123" s="311"/>
      <c r="B123" s="407"/>
      <c r="C123" s="311"/>
      <c r="D123" s="311"/>
      <c r="E123" s="311"/>
      <c r="F123" s="311"/>
      <c r="G123" s="311"/>
      <c r="H123" s="311"/>
      <c r="I123" s="311"/>
      <c r="J123" s="311"/>
      <c r="K123" s="311"/>
      <c r="L123" s="311"/>
      <c r="M123" s="311"/>
      <c r="N123" s="311"/>
      <c r="O123" s="311"/>
      <c r="P123" s="407"/>
    </row>
    <row r="124" spans="1:16" s="157" customFormat="1" ht="15.75">
      <c r="A124" s="311"/>
      <c r="B124" s="407"/>
      <c r="C124" s="311"/>
      <c r="D124" s="311"/>
      <c r="E124" s="311"/>
      <c r="F124" s="311"/>
      <c r="G124" s="311"/>
      <c r="H124" s="311"/>
      <c r="I124" s="311"/>
      <c r="J124" s="311"/>
      <c r="K124" s="311"/>
      <c r="L124" s="311"/>
      <c r="M124" s="311"/>
      <c r="N124" s="311"/>
      <c r="O124" s="311"/>
      <c r="P124" s="407"/>
    </row>
    <row r="125" spans="1:16" s="157" customFormat="1" ht="15.75">
      <c r="A125" s="311"/>
      <c r="B125" s="407"/>
      <c r="C125" s="311"/>
      <c r="D125" s="311"/>
      <c r="E125" s="311"/>
      <c r="F125" s="311"/>
      <c r="G125" s="311"/>
      <c r="H125" s="311"/>
      <c r="I125" s="311"/>
      <c r="J125" s="311"/>
      <c r="K125" s="311"/>
      <c r="L125" s="311"/>
      <c r="M125" s="311"/>
      <c r="N125" s="311"/>
      <c r="O125" s="311"/>
      <c r="P125" s="407"/>
    </row>
    <row r="126" spans="1:16" s="157" customFormat="1" ht="15.75">
      <c r="A126" s="311"/>
      <c r="B126" s="407"/>
      <c r="C126" s="311"/>
      <c r="D126" s="311"/>
      <c r="E126" s="311"/>
      <c r="F126" s="311"/>
      <c r="G126" s="311"/>
      <c r="H126" s="311"/>
      <c r="I126" s="311"/>
      <c r="J126" s="311"/>
      <c r="K126" s="311"/>
      <c r="L126" s="311"/>
      <c r="M126" s="311"/>
      <c r="N126" s="311"/>
      <c r="O126" s="311"/>
      <c r="P126" s="407"/>
    </row>
    <row r="127" spans="1:16" s="157" customFormat="1" ht="15.75">
      <c r="A127" s="311"/>
      <c r="B127" s="407"/>
      <c r="C127" s="311"/>
      <c r="D127" s="311"/>
      <c r="E127" s="311"/>
      <c r="F127" s="311"/>
      <c r="G127" s="311"/>
      <c r="H127" s="311"/>
      <c r="I127" s="311"/>
      <c r="J127" s="311"/>
      <c r="K127" s="311"/>
      <c r="L127" s="311"/>
      <c r="M127" s="311"/>
      <c r="N127" s="311"/>
      <c r="O127" s="311"/>
      <c r="P127" s="407"/>
    </row>
    <row r="128" spans="1:16" s="157" customFormat="1" ht="15.75">
      <c r="A128" s="311"/>
      <c r="B128" s="407"/>
      <c r="C128" s="311"/>
      <c r="D128" s="311"/>
      <c r="E128" s="311"/>
      <c r="F128" s="311"/>
      <c r="G128" s="311"/>
      <c r="H128" s="311"/>
      <c r="I128" s="311"/>
      <c r="J128" s="311"/>
      <c r="K128" s="311"/>
      <c r="L128" s="311"/>
      <c r="M128" s="311"/>
      <c r="N128" s="311"/>
      <c r="O128" s="311"/>
      <c r="P128" s="407"/>
    </row>
    <row r="129" spans="1:16" s="157" customFormat="1" ht="15.75">
      <c r="A129" s="311"/>
      <c r="B129" s="407"/>
      <c r="C129" s="311"/>
      <c r="D129" s="311"/>
      <c r="E129" s="311"/>
      <c r="F129" s="311"/>
      <c r="G129" s="311"/>
      <c r="H129" s="311"/>
      <c r="I129" s="311"/>
      <c r="J129" s="311"/>
      <c r="K129" s="311"/>
      <c r="L129" s="311"/>
      <c r="M129" s="311"/>
      <c r="N129" s="311"/>
      <c r="O129" s="311"/>
      <c r="P129" s="407"/>
    </row>
    <row r="130" spans="1:16" s="157" customFormat="1" ht="15.75">
      <c r="A130" s="311"/>
      <c r="B130" s="407"/>
      <c r="C130" s="311"/>
      <c r="D130" s="311"/>
      <c r="E130" s="311"/>
      <c r="F130" s="311"/>
      <c r="G130" s="311"/>
      <c r="H130" s="311"/>
      <c r="I130" s="311"/>
      <c r="J130" s="311"/>
      <c r="K130" s="311"/>
      <c r="L130" s="311"/>
      <c r="M130" s="311"/>
      <c r="N130" s="311"/>
      <c r="O130" s="311"/>
      <c r="P130" s="407"/>
    </row>
    <row r="131" spans="1:16" s="157" customFormat="1" ht="15.75">
      <c r="A131" s="311"/>
      <c r="B131" s="407"/>
      <c r="C131" s="311"/>
      <c r="D131" s="311"/>
      <c r="E131" s="311"/>
      <c r="F131" s="311"/>
      <c r="G131" s="311"/>
      <c r="H131" s="311"/>
      <c r="I131" s="311"/>
      <c r="J131" s="311"/>
      <c r="K131" s="311"/>
      <c r="L131" s="311"/>
      <c r="M131" s="311"/>
      <c r="N131" s="311"/>
      <c r="O131" s="311"/>
      <c r="P131" s="407"/>
    </row>
    <row r="132" spans="1:16" s="157" customFormat="1" ht="15.75">
      <c r="A132" s="311"/>
      <c r="B132" s="407"/>
      <c r="C132" s="311"/>
      <c r="D132" s="311"/>
      <c r="E132" s="311"/>
      <c r="F132" s="311"/>
      <c r="G132" s="311"/>
      <c r="H132" s="311"/>
      <c r="I132" s="311"/>
      <c r="J132" s="311"/>
      <c r="K132" s="311"/>
      <c r="L132" s="311"/>
      <c r="M132" s="311"/>
      <c r="N132" s="311"/>
      <c r="O132" s="311"/>
      <c r="P132" s="407"/>
    </row>
    <row r="133" spans="1:16" s="157" customFormat="1" ht="15.75">
      <c r="A133" s="311"/>
      <c r="B133" s="407"/>
      <c r="C133" s="311"/>
      <c r="D133" s="311"/>
      <c r="E133" s="311"/>
      <c r="F133" s="311"/>
      <c r="G133" s="311"/>
      <c r="H133" s="311"/>
      <c r="I133" s="311"/>
      <c r="J133" s="311"/>
      <c r="K133" s="311"/>
      <c r="L133" s="311"/>
      <c r="M133" s="311"/>
      <c r="N133" s="311"/>
      <c r="O133" s="311"/>
      <c r="P133" s="407"/>
    </row>
    <row r="134" spans="1:16" s="157" customFormat="1" ht="15.75">
      <c r="A134" s="311"/>
      <c r="B134" s="407"/>
      <c r="C134" s="311"/>
      <c r="D134" s="311"/>
      <c r="E134" s="311"/>
      <c r="F134" s="311"/>
      <c r="G134" s="311"/>
      <c r="H134" s="311"/>
      <c r="I134" s="311"/>
      <c r="J134" s="311"/>
      <c r="K134" s="311"/>
      <c r="L134" s="311"/>
      <c r="M134" s="311"/>
      <c r="N134" s="311"/>
      <c r="O134" s="311"/>
      <c r="P134" s="407"/>
    </row>
    <row r="135" spans="1:16" s="157" customFormat="1" ht="15.75">
      <c r="A135" s="311"/>
      <c r="B135" s="407"/>
      <c r="C135" s="311"/>
      <c r="D135" s="311"/>
      <c r="E135" s="311"/>
      <c r="F135" s="311"/>
      <c r="G135" s="311"/>
      <c r="H135" s="311"/>
      <c r="I135" s="311"/>
      <c r="J135" s="311"/>
      <c r="K135" s="311"/>
      <c r="L135" s="311"/>
      <c r="M135" s="311"/>
      <c r="N135" s="311"/>
      <c r="O135" s="311"/>
      <c r="P135" s="407"/>
    </row>
  </sheetData>
  <sheetProtection/>
  <mergeCells count="16">
    <mergeCell ref="H6:H7"/>
    <mergeCell ref="I6:I7"/>
    <mergeCell ref="J6:J7"/>
    <mergeCell ref="K6:K7"/>
    <mergeCell ref="M6:M7"/>
    <mergeCell ref="N6:N7"/>
    <mergeCell ref="O6:P6"/>
    <mergeCell ref="A3:R3"/>
    <mergeCell ref="A4:R4"/>
    <mergeCell ref="A6:A7"/>
    <mergeCell ref="B6:B7"/>
    <mergeCell ref="C6:C7"/>
    <mergeCell ref="D6:D7"/>
    <mergeCell ref="E6:E7"/>
    <mergeCell ref="F6:F7"/>
    <mergeCell ref="G6:G7"/>
  </mergeCells>
  <printOptions/>
  <pageMargins left="0.236220472440945" right="0.236220472440945" top="0.354330708661417" bottom="0.354330708661417" header="0.31496062992126" footer="0.31496062992126"/>
  <pageSetup horizontalDpi="600" verticalDpi="600" orientation="landscape" paperSize="8" scale="80" r:id="rId1"/>
  <headerFooter>
    <oddFooter>&amp;CPage &amp;P&amp;R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1454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dc:creator>
  <cp:keywords/>
  <dc:description/>
  <cp:lastModifiedBy>74608387</cp:lastModifiedBy>
  <cp:lastPrinted>2021-12-30T14:08:01Z</cp:lastPrinted>
  <dcterms:created xsi:type="dcterms:W3CDTF">2009-04-16T08:32:48Z</dcterms:created>
  <dcterms:modified xsi:type="dcterms:W3CDTF">2021-12-30T14:08:30Z</dcterms:modified>
  <cp:category/>
  <cp:version/>
  <cp:contentType/>
  <cp:contentStatus/>
  <cp:revision>412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