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053\ueip\2022\PRIORITIZARE 2022\pachet guvern\"/>
    </mc:Choice>
  </mc:AlternateContent>
  <bookViews>
    <workbookView xWindow="0" yWindow="0" windowWidth="16380" windowHeight="8190" tabRatio="453"/>
  </bookViews>
  <sheets>
    <sheet name="anexa fara 100%" sheetId="20" r:id="rId1"/>
    <sheet name="100%" sheetId="21" r:id="rId2"/>
  </sheets>
  <externalReferences>
    <externalReference r:id="rId3"/>
    <externalReference r:id="rId4"/>
    <externalReference r:id="rId5"/>
    <externalReference r:id="rId6"/>
    <externalReference r:id="rId7"/>
  </externalReferences>
  <definedNames>
    <definedName name="__xlfn_COUNTIFS">#N/A</definedName>
    <definedName name="_xlnm._FilterDatabase" localSheetId="1" hidden="1">'100%'!$A$9:$X$59</definedName>
    <definedName name="_xlnm._FilterDatabase" localSheetId="0" hidden="1">'anexa fara 100%'!$A$9:$X$150</definedName>
    <definedName name="_xlnm.Print_Area" localSheetId="1">'100%'!$A$1:$P$60</definedName>
    <definedName name="_xlnm.Print_Area" localSheetId="0">'anexa fara 100%'!$A$1:$P$162</definedName>
    <definedName name="_xlnm.Print_Titles" localSheetId="1">'100%'!$7:$9</definedName>
    <definedName name="_xlnm.Print_Titles" localSheetId="0">'anexa fara 100%'!$7:$9</definedName>
  </definedNames>
  <calcPr calcId="162913"/>
</workbook>
</file>

<file path=xl/calcChain.xml><?xml version="1.0" encoding="utf-8"?>
<calcChain xmlns="http://schemas.openxmlformats.org/spreadsheetml/2006/main">
  <c r="J318" i="21" l="1"/>
  <c r="S109" i="21"/>
  <c r="R109" i="21"/>
  <c r="S108" i="21"/>
  <c r="R108" i="21"/>
  <c r="T107" i="21"/>
  <c r="S104" i="21"/>
  <c r="R104" i="21"/>
  <c r="S103" i="21"/>
  <c r="R103" i="21"/>
  <c r="T102" i="21"/>
  <c r="S100" i="21"/>
  <c r="E100" i="21"/>
  <c r="S74" i="21" s="1"/>
  <c r="E99" i="21"/>
  <c r="E98" i="21"/>
  <c r="S72" i="21" s="1"/>
  <c r="S97" i="21"/>
  <c r="R97" i="21"/>
  <c r="R100" i="21" s="1"/>
  <c r="E97" i="21"/>
  <c r="S71" i="21" s="1"/>
  <c r="T96" i="21"/>
  <c r="E96" i="21"/>
  <c r="S70" i="21" s="1"/>
  <c r="E95" i="21"/>
  <c r="S69" i="21" s="1"/>
  <c r="E94" i="21"/>
  <c r="S68" i="21" s="1"/>
  <c r="E93" i="21"/>
  <c r="S67" i="21" s="1"/>
  <c r="S92" i="21"/>
  <c r="S94" i="21" s="1"/>
  <c r="R92" i="21"/>
  <c r="R94" i="21" s="1"/>
  <c r="E92" i="21"/>
  <c r="S66" i="21" s="1"/>
  <c r="T91" i="21"/>
  <c r="W88" i="21"/>
  <c r="V88" i="21"/>
  <c r="U88" i="21"/>
  <c r="S88" i="21"/>
  <c r="R88" i="21"/>
  <c r="W87" i="21"/>
  <c r="V87" i="21"/>
  <c r="U87" i="21"/>
  <c r="T87" i="21"/>
  <c r="S87" i="21"/>
  <c r="S89" i="21" s="1"/>
  <c r="R87" i="21"/>
  <c r="R89" i="21" s="1"/>
  <c r="E87" i="21"/>
  <c r="Q73" i="21" s="1"/>
  <c r="C87" i="21"/>
  <c r="E86" i="21"/>
  <c r="C86" i="21"/>
  <c r="E85" i="21"/>
  <c r="Q72" i="21" s="1"/>
  <c r="C85" i="21"/>
  <c r="E84" i="21"/>
  <c r="Q71" i="21" s="1"/>
  <c r="C84" i="21"/>
  <c r="E83" i="21"/>
  <c r="Q70" i="21" s="1"/>
  <c r="C83" i="21"/>
  <c r="S82" i="21"/>
  <c r="R82" i="21"/>
  <c r="E82" i="21"/>
  <c r="Q69" i="21" s="1"/>
  <c r="C82" i="21"/>
  <c r="T81" i="21"/>
  <c r="S81" i="21"/>
  <c r="R81" i="21"/>
  <c r="E81" i="21"/>
  <c r="C81" i="21"/>
  <c r="E80" i="21"/>
  <c r="Q67" i="21" s="1"/>
  <c r="C80" i="21"/>
  <c r="E79" i="21"/>
  <c r="Q66" i="21" s="1"/>
  <c r="N74" i="21"/>
  <c r="G87" i="21" s="1"/>
  <c r="M74" i="21"/>
  <c r="H74" i="21"/>
  <c r="W74" i="21" s="1"/>
  <c r="G74" i="21"/>
  <c r="F74" i="21"/>
  <c r="D74" i="21"/>
  <c r="N73" i="21"/>
  <c r="H73" i="21"/>
  <c r="W73" i="21" s="1"/>
  <c r="G73" i="21"/>
  <c r="F73" i="21"/>
  <c r="N72" i="21"/>
  <c r="H72" i="21"/>
  <c r="W72" i="21" s="1"/>
  <c r="G72" i="21"/>
  <c r="F72" i="21"/>
  <c r="D72" i="21"/>
  <c r="O71" i="21"/>
  <c r="G97" i="21" s="1"/>
  <c r="N71" i="21"/>
  <c r="G84" i="21" s="1"/>
  <c r="H71" i="21"/>
  <c r="W71" i="21" s="1"/>
  <c r="G71" i="21"/>
  <c r="F71" i="21"/>
  <c r="D71" i="21"/>
  <c r="N70" i="21"/>
  <c r="H70" i="21"/>
  <c r="W70" i="21" s="1"/>
  <c r="G70" i="21"/>
  <c r="F70" i="21"/>
  <c r="D70" i="21"/>
  <c r="N69" i="21"/>
  <c r="H69" i="21"/>
  <c r="W69" i="21" s="1"/>
  <c r="G69" i="21"/>
  <c r="F69" i="21"/>
  <c r="D69" i="21"/>
  <c r="Q68" i="21"/>
  <c r="N68" i="21"/>
  <c r="H68" i="21"/>
  <c r="W68" i="21" s="1"/>
  <c r="G68" i="21"/>
  <c r="F68" i="21"/>
  <c r="D68" i="21"/>
  <c r="N67" i="21"/>
  <c r="H67" i="21"/>
  <c r="W67" i="21" s="1"/>
  <c r="G67" i="21"/>
  <c r="D67" i="21"/>
  <c r="N66" i="21"/>
  <c r="G79" i="21" s="1"/>
  <c r="G66" i="21"/>
  <c r="F66" i="21"/>
  <c r="D66" i="21"/>
  <c r="L59" i="21"/>
  <c r="K59" i="21"/>
  <c r="J59" i="21"/>
  <c r="C59" i="21"/>
  <c r="C100" i="21" s="1"/>
  <c r="M58" i="21"/>
  <c r="M57" i="21"/>
  <c r="M56" i="21"/>
  <c r="M55" i="21"/>
  <c r="M54" i="21"/>
  <c r="M53" i="21"/>
  <c r="M52" i="21"/>
  <c r="M51" i="21"/>
  <c r="M50" i="21"/>
  <c r="M49" i="21"/>
  <c r="O48" i="21"/>
  <c r="M48" i="21"/>
  <c r="M47" i="21"/>
  <c r="O46" i="21"/>
  <c r="M46" i="21"/>
  <c r="M45" i="21"/>
  <c r="M44" i="21"/>
  <c r="M43" i="21"/>
  <c r="M42" i="21"/>
  <c r="M41" i="21"/>
  <c r="M40" i="21"/>
  <c r="M39" i="21"/>
  <c r="O38" i="21"/>
  <c r="M38" i="21"/>
  <c r="M37" i="21"/>
  <c r="M36" i="21"/>
  <c r="M35" i="21"/>
  <c r="M34" i="21"/>
  <c r="M33" i="21"/>
  <c r="M32" i="21"/>
  <c r="M31" i="21"/>
  <c r="M30" i="21"/>
  <c r="M29" i="21"/>
  <c r="M28" i="21"/>
  <c r="M27" i="21"/>
  <c r="O26" i="21"/>
  <c r="M26" i="21"/>
  <c r="M25" i="21"/>
  <c r="M24" i="21"/>
  <c r="M23" i="21"/>
  <c r="M22" i="21"/>
  <c r="O21" i="21"/>
  <c r="M21" i="21"/>
  <c r="M20" i="21"/>
  <c r="M19" i="21"/>
  <c r="M18" i="21"/>
  <c r="M17" i="21"/>
  <c r="M16" i="21"/>
  <c r="O72" i="21"/>
  <c r="M15" i="21"/>
  <c r="M14" i="21"/>
  <c r="M13" i="21"/>
  <c r="M12" i="21"/>
  <c r="O11" i="21"/>
  <c r="M11" i="21"/>
  <c r="M10" i="21"/>
  <c r="O73" i="21"/>
  <c r="J424" i="20"/>
  <c r="S215" i="20"/>
  <c r="R215" i="20"/>
  <c r="S214" i="20"/>
  <c r="R214" i="20"/>
  <c r="T213" i="20"/>
  <c r="S210" i="20"/>
  <c r="R210" i="20"/>
  <c r="S209" i="20"/>
  <c r="R209" i="20"/>
  <c r="T208" i="20"/>
  <c r="E206" i="20"/>
  <c r="S180" i="20" s="1"/>
  <c r="E205" i="20"/>
  <c r="E204" i="20"/>
  <c r="S178" i="20" s="1"/>
  <c r="S203" i="20"/>
  <c r="S206" i="20" s="1"/>
  <c r="R203" i="20"/>
  <c r="R206" i="20" s="1"/>
  <c r="E203" i="20"/>
  <c r="S177" i="20" s="1"/>
  <c r="T202" i="20"/>
  <c r="E202" i="20"/>
  <c r="S176" i="20" s="1"/>
  <c r="E201" i="20"/>
  <c r="S175" i="20" s="1"/>
  <c r="E200" i="20"/>
  <c r="S174" i="20" s="1"/>
  <c r="E199" i="20"/>
  <c r="S173" i="20" s="1"/>
  <c r="S198" i="20"/>
  <c r="S200" i="20" s="1"/>
  <c r="R198" i="20"/>
  <c r="R200" i="20" s="1"/>
  <c r="E198" i="20"/>
  <c r="T197" i="20"/>
  <c r="W194" i="20"/>
  <c r="V194" i="20"/>
  <c r="U194" i="20"/>
  <c r="S194" i="20"/>
  <c r="R194" i="20"/>
  <c r="W193" i="20"/>
  <c r="V193" i="20"/>
  <c r="U193" i="20"/>
  <c r="T193" i="20"/>
  <c r="S193" i="20"/>
  <c r="R193" i="20"/>
  <c r="R195" i="20" s="1"/>
  <c r="E193" i="20"/>
  <c r="Q180" i="20" s="1"/>
  <c r="C193" i="20"/>
  <c r="E192" i="20"/>
  <c r="C192" i="20"/>
  <c r="E191" i="20"/>
  <c r="Q178" i="20" s="1"/>
  <c r="C191" i="20"/>
  <c r="E190" i="20"/>
  <c r="Q177" i="20" s="1"/>
  <c r="C190" i="20"/>
  <c r="E189" i="20"/>
  <c r="Q176" i="20" s="1"/>
  <c r="C189" i="20"/>
  <c r="S188" i="20"/>
  <c r="R188" i="20"/>
  <c r="E188" i="20"/>
  <c r="Q175" i="20" s="1"/>
  <c r="C188" i="20"/>
  <c r="T187" i="20"/>
  <c r="S187" i="20"/>
  <c r="R187" i="20"/>
  <c r="E187" i="20"/>
  <c r="Q174" i="20" s="1"/>
  <c r="C187" i="20"/>
  <c r="E186" i="20"/>
  <c r="Q173" i="20" s="1"/>
  <c r="C186" i="20"/>
  <c r="E185" i="20"/>
  <c r="N180" i="20"/>
  <c r="G193" i="20" s="1"/>
  <c r="M180" i="20"/>
  <c r="H180" i="20"/>
  <c r="W180" i="20" s="1"/>
  <c r="G180" i="20"/>
  <c r="F180" i="20"/>
  <c r="D180" i="20"/>
  <c r="N179" i="20"/>
  <c r="H179" i="20"/>
  <c r="W179" i="20" s="1"/>
  <c r="G179" i="20"/>
  <c r="F179" i="20"/>
  <c r="N178" i="20"/>
  <c r="H178" i="20"/>
  <c r="W178" i="20" s="1"/>
  <c r="G178" i="20"/>
  <c r="F178" i="20"/>
  <c r="D178" i="20"/>
  <c r="O177" i="20"/>
  <c r="G203" i="20" s="1"/>
  <c r="N177" i="20"/>
  <c r="G190" i="20" s="1"/>
  <c r="H177" i="20"/>
  <c r="W177" i="20" s="1"/>
  <c r="G177" i="20"/>
  <c r="F177" i="20"/>
  <c r="D177" i="20"/>
  <c r="N176" i="20"/>
  <c r="H176" i="20"/>
  <c r="W176" i="20" s="1"/>
  <c r="G176" i="20"/>
  <c r="F176" i="20"/>
  <c r="D176" i="20"/>
  <c r="N175" i="20"/>
  <c r="H175" i="20"/>
  <c r="W175" i="20" s="1"/>
  <c r="G175" i="20"/>
  <c r="F175" i="20"/>
  <c r="D175" i="20"/>
  <c r="N174" i="20"/>
  <c r="H174" i="20"/>
  <c r="W174" i="20" s="1"/>
  <c r="G174" i="20"/>
  <c r="F174" i="20"/>
  <c r="D174" i="20"/>
  <c r="N173" i="20"/>
  <c r="H173" i="20"/>
  <c r="W173" i="20" s="1"/>
  <c r="G173" i="20"/>
  <c r="D173" i="20"/>
  <c r="N172" i="20"/>
  <c r="G185" i="20" s="1"/>
  <c r="G172" i="20"/>
  <c r="F172" i="20"/>
  <c r="D172" i="20"/>
  <c r="L150" i="20"/>
  <c r="K150" i="20"/>
  <c r="J150" i="20"/>
  <c r="C150" i="20"/>
  <c r="C206" i="20" s="1"/>
  <c r="M149" i="20"/>
  <c r="M148" i="20"/>
  <c r="M147" i="20"/>
  <c r="M146" i="20"/>
  <c r="M145" i="20"/>
  <c r="M144" i="20"/>
  <c r="M143" i="20"/>
  <c r="M142" i="20"/>
  <c r="M141" i="20"/>
  <c r="M140" i="20"/>
  <c r="M139" i="20"/>
  <c r="M138" i="20"/>
  <c r="M137" i="20"/>
  <c r="M136" i="20"/>
  <c r="M135" i="20"/>
  <c r="O134" i="20"/>
  <c r="M134" i="20"/>
  <c r="M133" i="20"/>
  <c r="O132" i="20"/>
  <c r="M132" i="20"/>
  <c r="M131" i="20"/>
  <c r="M130" i="20"/>
  <c r="M129" i="20"/>
  <c r="O128" i="20"/>
  <c r="M128" i="20"/>
  <c r="M127" i="20"/>
  <c r="O126" i="20"/>
  <c r="M126" i="20"/>
  <c r="M125" i="20"/>
  <c r="O124" i="20"/>
  <c r="M124" i="20"/>
  <c r="M123" i="20"/>
  <c r="M122" i="20"/>
  <c r="M121" i="20"/>
  <c r="M120" i="20"/>
  <c r="M119" i="20"/>
  <c r="M118" i="20"/>
  <c r="M117" i="20"/>
  <c r="O116" i="20"/>
  <c r="M116" i="20"/>
  <c r="O115" i="20"/>
  <c r="M115" i="20"/>
  <c r="M114" i="20"/>
  <c r="M113" i="20"/>
  <c r="M112" i="20"/>
  <c r="M111" i="20"/>
  <c r="M110" i="20"/>
  <c r="M109" i="20"/>
  <c r="M108" i="20"/>
  <c r="M107" i="20"/>
  <c r="M106" i="20"/>
  <c r="M105" i="20"/>
  <c r="O104" i="20"/>
  <c r="M104" i="20"/>
  <c r="M103" i="20"/>
  <c r="O102" i="20"/>
  <c r="M102" i="20"/>
  <c r="O101" i="20"/>
  <c r="M101" i="20"/>
  <c r="O100" i="20"/>
  <c r="M100" i="20"/>
  <c r="M99" i="20"/>
  <c r="O98" i="20"/>
  <c r="M98" i="20"/>
  <c r="M97" i="20"/>
  <c r="M96" i="20"/>
  <c r="M95" i="20"/>
  <c r="M94" i="20"/>
  <c r="M93" i="20"/>
  <c r="M92" i="20"/>
  <c r="O91" i="20"/>
  <c r="M91" i="20"/>
  <c r="M90" i="20"/>
  <c r="M89" i="20"/>
  <c r="M88" i="20"/>
  <c r="M87" i="20"/>
  <c r="M86" i="20"/>
  <c r="M85" i="20"/>
  <c r="O84" i="20"/>
  <c r="M84" i="20"/>
  <c r="M83" i="20"/>
  <c r="O82" i="20"/>
  <c r="M82" i="20"/>
  <c r="M81" i="20"/>
  <c r="M80" i="20"/>
  <c r="O79" i="20"/>
  <c r="M79" i="20"/>
  <c r="O78" i="20"/>
  <c r="M78" i="20"/>
  <c r="O77" i="20"/>
  <c r="M77" i="20"/>
  <c r="O76" i="20"/>
  <c r="M76" i="20"/>
  <c r="O75" i="20"/>
  <c r="M75" i="20"/>
  <c r="O74" i="20"/>
  <c r="M74" i="20"/>
  <c r="M73" i="20"/>
  <c r="O72" i="20"/>
  <c r="M72" i="20"/>
  <c r="O71" i="20"/>
  <c r="M71" i="20"/>
  <c r="O70" i="20"/>
  <c r="M70" i="20"/>
  <c r="O69" i="20"/>
  <c r="M69" i="20"/>
  <c r="O68" i="20"/>
  <c r="M68" i="20"/>
  <c r="M67" i="20"/>
  <c r="O66" i="20"/>
  <c r="M66" i="20"/>
  <c r="O65" i="20"/>
  <c r="M65" i="20"/>
  <c r="O64" i="20"/>
  <c r="M64" i="20"/>
  <c r="M63" i="20"/>
  <c r="O62" i="20"/>
  <c r="M62" i="20"/>
  <c r="M61" i="20"/>
  <c r="M60" i="20"/>
  <c r="M59" i="20"/>
  <c r="O58" i="20"/>
  <c r="M58" i="20"/>
  <c r="M57" i="20"/>
  <c r="M56" i="20"/>
  <c r="O55" i="20"/>
  <c r="M55" i="20"/>
  <c r="M54" i="20"/>
  <c r="O53" i="20"/>
  <c r="M53" i="20"/>
  <c r="M52" i="20"/>
  <c r="M51" i="20"/>
  <c r="O50" i="20"/>
  <c r="M50" i="20"/>
  <c r="O49" i="20"/>
  <c r="M49" i="20"/>
  <c r="M48" i="20"/>
  <c r="O47" i="20"/>
  <c r="M47" i="20"/>
  <c r="O46" i="20"/>
  <c r="M46" i="20"/>
  <c r="O45" i="20"/>
  <c r="M45" i="20"/>
  <c r="O44" i="20"/>
  <c r="M44" i="20"/>
  <c r="O43" i="20"/>
  <c r="M43" i="20"/>
  <c r="O42" i="20"/>
  <c r="M42" i="20"/>
  <c r="O41" i="20"/>
  <c r="M41" i="20"/>
  <c r="M40" i="20"/>
  <c r="O39" i="20"/>
  <c r="M39" i="20"/>
  <c r="O38" i="20"/>
  <c r="M38" i="20"/>
  <c r="O37" i="20"/>
  <c r="M37" i="20"/>
  <c r="M36" i="20"/>
  <c r="O35" i="20"/>
  <c r="M35" i="20"/>
  <c r="M34" i="20"/>
  <c r="M33" i="20"/>
  <c r="O32" i="20"/>
  <c r="M32" i="20"/>
  <c r="O31" i="20"/>
  <c r="M31" i="20"/>
  <c r="O30" i="20"/>
  <c r="M30" i="20"/>
  <c r="O29" i="20"/>
  <c r="M29" i="20"/>
  <c r="O28" i="20"/>
  <c r="M28" i="20"/>
  <c r="O27" i="20"/>
  <c r="M27" i="20"/>
  <c r="O26" i="20"/>
  <c r="M26" i="20"/>
  <c r="O25" i="20"/>
  <c r="M25" i="20"/>
  <c r="O24" i="20"/>
  <c r="M24" i="20"/>
  <c r="O23" i="20"/>
  <c r="M23" i="20"/>
  <c r="M22" i="20"/>
  <c r="M21" i="20"/>
  <c r="O20" i="20"/>
  <c r="M20" i="20"/>
  <c r="O19" i="20"/>
  <c r="M19" i="20"/>
  <c r="M18" i="20"/>
  <c r="M17" i="20"/>
  <c r="M16" i="20"/>
  <c r="O15" i="20"/>
  <c r="M15" i="20"/>
  <c r="M14" i="20"/>
  <c r="O13" i="20"/>
  <c r="M13" i="20"/>
  <c r="O12" i="20"/>
  <c r="M12" i="20"/>
  <c r="M11" i="20"/>
  <c r="O179" i="20" s="1"/>
  <c r="M10" i="20"/>
  <c r="I10" i="20"/>
  <c r="F100" i="21" l="1"/>
  <c r="J319" i="21"/>
  <c r="U89" i="21"/>
  <c r="R110" i="21"/>
  <c r="J73" i="21"/>
  <c r="V73" i="21" s="1"/>
  <c r="X73" i="21" s="1"/>
  <c r="R83" i="21"/>
  <c r="V89" i="21"/>
  <c r="O68" i="21"/>
  <c r="G94" i="21" s="1"/>
  <c r="F85" i="21"/>
  <c r="S83" i="21"/>
  <c r="F86" i="21"/>
  <c r="R105" i="21"/>
  <c r="S110" i="21"/>
  <c r="O69" i="21"/>
  <c r="G95" i="21" s="1"/>
  <c r="W89" i="21"/>
  <c r="T79" i="21"/>
  <c r="F83" i="21"/>
  <c r="R91" i="21"/>
  <c r="J70" i="21"/>
  <c r="V70" i="21" s="1"/>
  <c r="X70" i="21" s="1"/>
  <c r="O70" i="21"/>
  <c r="G96" i="21" s="1"/>
  <c r="O67" i="21"/>
  <c r="G93" i="21" s="1"/>
  <c r="O66" i="21"/>
  <c r="F112" i="21" s="1"/>
  <c r="F110" i="21" s="1"/>
  <c r="O74" i="21"/>
  <c r="G100" i="21" s="1"/>
  <c r="J72" i="21"/>
  <c r="V72" i="21" s="1"/>
  <c r="X72" i="21" s="1"/>
  <c r="D75" i="21"/>
  <c r="E69" i="21" s="1"/>
  <c r="I68" i="21"/>
  <c r="J71" i="21"/>
  <c r="V71" i="21" s="1"/>
  <c r="X71" i="21" s="1"/>
  <c r="Q74" i="21"/>
  <c r="F81" i="21"/>
  <c r="F84" i="21"/>
  <c r="I84" i="21" s="1"/>
  <c r="P71" i="21" s="1"/>
  <c r="T71" i="21" s="1"/>
  <c r="S91" i="21"/>
  <c r="S95" i="21" s="1"/>
  <c r="M59" i="21"/>
  <c r="J66" i="21"/>
  <c r="V66" i="21" s="1"/>
  <c r="F67" i="21"/>
  <c r="J67" i="21" s="1"/>
  <c r="V67" i="21" s="1"/>
  <c r="X67" i="21" s="1"/>
  <c r="J68" i="21"/>
  <c r="V68" i="21" s="1"/>
  <c r="X68" i="21" s="1"/>
  <c r="J74" i="21"/>
  <c r="V74" i="21" s="1"/>
  <c r="X74" i="21" s="1"/>
  <c r="F87" i="21"/>
  <c r="I87" i="21" s="1"/>
  <c r="C95" i="21"/>
  <c r="F95" i="21" s="1"/>
  <c r="G75" i="21"/>
  <c r="E88" i="21"/>
  <c r="Q75" i="21" s="1"/>
  <c r="E101" i="21"/>
  <c r="S75" i="21" s="1"/>
  <c r="J69" i="21"/>
  <c r="V69" i="21" s="1"/>
  <c r="X69" i="21" s="1"/>
  <c r="F80" i="21"/>
  <c r="F82" i="21"/>
  <c r="S105" i="21"/>
  <c r="G99" i="21"/>
  <c r="G83" i="21"/>
  <c r="G85" i="21"/>
  <c r="R101" i="21"/>
  <c r="S111" i="21"/>
  <c r="R111" i="21"/>
  <c r="I73" i="21"/>
  <c r="I74" i="21"/>
  <c r="C79" i="21"/>
  <c r="G80" i="21"/>
  <c r="C92" i="21"/>
  <c r="C96" i="21"/>
  <c r="F96" i="21" s="1"/>
  <c r="G98" i="21"/>
  <c r="S101" i="21"/>
  <c r="E112" i="21"/>
  <c r="E110" i="21" s="1"/>
  <c r="M317" i="21"/>
  <c r="H66" i="21"/>
  <c r="I66" i="21" s="1"/>
  <c r="I69" i="21"/>
  <c r="I70" i="21"/>
  <c r="I71" i="21"/>
  <c r="I72" i="21"/>
  <c r="S73" i="21"/>
  <c r="G82" i="21"/>
  <c r="G86" i="21"/>
  <c r="C97" i="21"/>
  <c r="F97" i="21" s="1"/>
  <c r="I97" i="21" s="1"/>
  <c r="R71" i="21" s="1"/>
  <c r="U71" i="21" s="1"/>
  <c r="N75" i="21"/>
  <c r="N80" i="21" s="1"/>
  <c r="G81" i="21"/>
  <c r="C93" i="21"/>
  <c r="F93" i="21" s="1"/>
  <c r="C94" i="21"/>
  <c r="F94" i="21" s="1"/>
  <c r="R112" i="21"/>
  <c r="C98" i="21"/>
  <c r="F98" i="21" s="1"/>
  <c r="C99" i="21"/>
  <c r="F99" i="21" s="1"/>
  <c r="J425" i="20"/>
  <c r="Q179" i="20"/>
  <c r="U195" i="20"/>
  <c r="R189" i="20"/>
  <c r="W195" i="20"/>
  <c r="S195" i="20"/>
  <c r="R211" i="20"/>
  <c r="S216" i="20"/>
  <c r="O178" i="20"/>
  <c r="G204" i="20" s="1"/>
  <c r="S189" i="20"/>
  <c r="V195" i="20"/>
  <c r="T185" i="20"/>
  <c r="R216" i="20"/>
  <c r="F173" i="20"/>
  <c r="J173" i="20" s="1"/>
  <c r="V173" i="20" s="1"/>
  <c r="X173" i="20" s="1"/>
  <c r="J174" i="20"/>
  <c r="V174" i="20" s="1"/>
  <c r="X174" i="20" s="1"/>
  <c r="J175" i="20"/>
  <c r="V175" i="20" s="1"/>
  <c r="X175" i="20" s="1"/>
  <c r="F190" i="20"/>
  <c r="I190" i="20" s="1"/>
  <c r="P177" i="20" s="1"/>
  <c r="T177" i="20" s="1"/>
  <c r="F193" i="20"/>
  <c r="I193" i="20" s="1"/>
  <c r="H193" i="20" s="1"/>
  <c r="J179" i="20"/>
  <c r="V179" i="20" s="1"/>
  <c r="X179" i="20" s="1"/>
  <c r="F191" i="20"/>
  <c r="O175" i="20"/>
  <c r="G201" i="20" s="1"/>
  <c r="D181" i="20"/>
  <c r="E176" i="20" s="1"/>
  <c r="J177" i="20"/>
  <c r="V177" i="20" s="1"/>
  <c r="X177" i="20" s="1"/>
  <c r="J178" i="20"/>
  <c r="V178" i="20" s="1"/>
  <c r="X178" i="20" s="1"/>
  <c r="S197" i="20"/>
  <c r="O174" i="20"/>
  <c r="G200" i="20" s="1"/>
  <c r="F206" i="20"/>
  <c r="F189" i="20"/>
  <c r="C201" i="20"/>
  <c r="F201" i="20" s="1"/>
  <c r="F186" i="20"/>
  <c r="F192" i="20"/>
  <c r="I174" i="20"/>
  <c r="I175" i="20"/>
  <c r="F187" i="20"/>
  <c r="J180" i="20"/>
  <c r="V180" i="20" s="1"/>
  <c r="X180" i="20" s="1"/>
  <c r="E207" i="20"/>
  <c r="S181" i="20" s="1"/>
  <c r="O173" i="20"/>
  <c r="G199" i="20" s="1"/>
  <c r="E194" i="20"/>
  <c r="Q181" i="20" s="1"/>
  <c r="O172" i="20"/>
  <c r="G198" i="20" s="1"/>
  <c r="M150" i="20"/>
  <c r="I176" i="20"/>
  <c r="S211" i="20"/>
  <c r="R217" i="20"/>
  <c r="G181" i="20"/>
  <c r="O176" i="20"/>
  <c r="O180" i="20"/>
  <c r="G206" i="20" s="1"/>
  <c r="Q172" i="20"/>
  <c r="S172" i="20"/>
  <c r="J176" i="20"/>
  <c r="V176" i="20" s="1"/>
  <c r="X176" i="20" s="1"/>
  <c r="I177" i="20"/>
  <c r="F188" i="20"/>
  <c r="R197" i="20"/>
  <c r="G205" i="20"/>
  <c r="G189" i="20"/>
  <c r="G191" i="20"/>
  <c r="R207" i="20"/>
  <c r="S217" i="20"/>
  <c r="I179" i="20"/>
  <c r="I180" i="20"/>
  <c r="C185" i="20"/>
  <c r="G186" i="20"/>
  <c r="C198" i="20"/>
  <c r="C202" i="20"/>
  <c r="F202" i="20" s="1"/>
  <c r="S207" i="20"/>
  <c r="E218" i="20"/>
  <c r="E216" i="20" s="1"/>
  <c r="M423" i="20"/>
  <c r="H172" i="20"/>
  <c r="I172" i="20" s="1"/>
  <c r="I178" i="20"/>
  <c r="S179" i="20"/>
  <c r="G188" i="20"/>
  <c r="G192" i="20"/>
  <c r="C203" i="20"/>
  <c r="F203" i="20" s="1"/>
  <c r="I203" i="20" s="1"/>
  <c r="R177" i="20" s="1"/>
  <c r="U177" i="20" s="1"/>
  <c r="J172" i="20"/>
  <c r="N181" i="20"/>
  <c r="G187" i="20"/>
  <c r="C199" i="20"/>
  <c r="F199" i="20" s="1"/>
  <c r="C200" i="20"/>
  <c r="F200" i="20" s="1"/>
  <c r="R218" i="20"/>
  <c r="C204" i="20"/>
  <c r="F204" i="20" s="1"/>
  <c r="C205" i="20"/>
  <c r="F205" i="20" s="1"/>
  <c r="R95" i="21" l="1"/>
  <c r="M318" i="21"/>
  <c r="E66" i="21"/>
  <c r="E67" i="21"/>
  <c r="E70" i="21"/>
  <c r="E71" i="21"/>
  <c r="E74" i="21"/>
  <c r="N87" i="21"/>
  <c r="N85" i="21"/>
  <c r="G88" i="21"/>
  <c r="O75" i="21"/>
  <c r="O81" i="21" s="1"/>
  <c r="E68" i="21"/>
  <c r="G92" i="21"/>
  <c r="G101" i="21" s="1"/>
  <c r="S112" i="21"/>
  <c r="S113" i="21" s="1"/>
  <c r="E73" i="21"/>
  <c r="E72" i="21"/>
  <c r="J75" i="21"/>
  <c r="V75" i="21" s="1"/>
  <c r="F75" i="21"/>
  <c r="I67" i="21"/>
  <c r="I94" i="21"/>
  <c r="R68" i="21" s="1"/>
  <c r="U68" i="21" s="1"/>
  <c r="P73" i="21"/>
  <c r="T73" i="21" s="1"/>
  <c r="P74" i="21"/>
  <c r="T74" i="21" s="1"/>
  <c r="C88" i="21"/>
  <c r="F79" i="21"/>
  <c r="H97" i="21"/>
  <c r="N83" i="21"/>
  <c r="I95" i="21"/>
  <c r="R69" i="21" s="1"/>
  <c r="U69" i="21" s="1"/>
  <c r="F92" i="21"/>
  <c r="F101" i="21" s="1"/>
  <c r="E106" i="21" s="1"/>
  <c r="C101" i="21"/>
  <c r="I85" i="21"/>
  <c r="P72" i="21" s="1"/>
  <c r="T72" i="21" s="1"/>
  <c r="H84" i="21"/>
  <c r="H87" i="21"/>
  <c r="I99" i="21"/>
  <c r="H99" i="21" s="1"/>
  <c r="I81" i="21"/>
  <c r="P68" i="21" s="1"/>
  <c r="T68" i="21" s="1"/>
  <c r="I86" i="21"/>
  <c r="H86" i="21" s="1"/>
  <c r="I83" i="21"/>
  <c r="P70" i="21" s="1"/>
  <c r="T70" i="21" s="1"/>
  <c r="N76" i="21"/>
  <c r="N84" i="21"/>
  <c r="R113" i="21"/>
  <c r="I100" i="21"/>
  <c r="H100" i="21" s="1"/>
  <c r="I93" i="21"/>
  <c r="R67" i="21" s="1"/>
  <c r="U67" i="21" s="1"/>
  <c r="N86" i="21"/>
  <c r="N82" i="21"/>
  <c r="I82" i="21"/>
  <c r="P69" i="21" s="1"/>
  <c r="T69" i="21" s="1"/>
  <c r="I80" i="21"/>
  <c r="P67" i="21" s="1"/>
  <c r="T67" i="21" s="1"/>
  <c r="N81" i="21"/>
  <c r="I96" i="21"/>
  <c r="R70" i="21" s="1"/>
  <c r="U70" i="21" s="1"/>
  <c r="W66" i="21"/>
  <c r="X66" i="21" s="1"/>
  <c r="H75" i="21"/>
  <c r="W75" i="21" s="1"/>
  <c r="I98" i="21"/>
  <c r="R72" i="21" s="1"/>
  <c r="U72" i="21" s="1"/>
  <c r="N79" i="21"/>
  <c r="E179" i="20"/>
  <c r="S201" i="20"/>
  <c r="E172" i="20"/>
  <c r="E178" i="20"/>
  <c r="F218" i="20"/>
  <c r="F216" i="20" s="1"/>
  <c r="E180" i="20"/>
  <c r="E177" i="20"/>
  <c r="E173" i="20"/>
  <c r="R219" i="20"/>
  <c r="E174" i="20"/>
  <c r="E175" i="20"/>
  <c r="R201" i="20"/>
  <c r="F181" i="20"/>
  <c r="I173" i="20"/>
  <c r="O181" i="20"/>
  <c r="O189" i="20" s="1"/>
  <c r="S218" i="20"/>
  <c r="S219" i="20" s="1"/>
  <c r="G202" i="20"/>
  <c r="G207" i="20" s="1"/>
  <c r="H190" i="20"/>
  <c r="M424" i="20"/>
  <c r="I204" i="20"/>
  <c r="R178" i="20" s="1"/>
  <c r="U178" i="20" s="1"/>
  <c r="I186" i="20"/>
  <c r="P173" i="20" s="1"/>
  <c r="T173" i="20" s="1"/>
  <c r="N188" i="20"/>
  <c r="N192" i="20"/>
  <c r="I192" i="20"/>
  <c r="H192" i="20" s="1"/>
  <c r="I187" i="20"/>
  <c r="P174" i="20" s="1"/>
  <c r="T174" i="20" s="1"/>
  <c r="N182" i="20"/>
  <c r="I201" i="20"/>
  <c r="R175" i="20" s="1"/>
  <c r="U175" i="20" s="1"/>
  <c r="N185" i="20"/>
  <c r="I200" i="20"/>
  <c r="R174" i="20" s="1"/>
  <c r="U174" i="20" s="1"/>
  <c r="I205" i="20"/>
  <c r="H205" i="20" s="1"/>
  <c r="N186" i="20"/>
  <c r="G194" i="20"/>
  <c r="C194" i="20"/>
  <c r="F185" i="20"/>
  <c r="I191" i="20"/>
  <c r="P178" i="20" s="1"/>
  <c r="T178" i="20" s="1"/>
  <c r="I199" i="20"/>
  <c r="R173" i="20" s="1"/>
  <c r="U173" i="20" s="1"/>
  <c r="N191" i="20"/>
  <c r="I206" i="20"/>
  <c r="H206" i="20" s="1"/>
  <c r="F198" i="20"/>
  <c r="F207" i="20" s="1"/>
  <c r="E212" i="20" s="1"/>
  <c r="C207" i="20"/>
  <c r="N193" i="20"/>
  <c r="I189" i="20"/>
  <c r="P176" i="20" s="1"/>
  <c r="T176" i="20" s="1"/>
  <c r="P180" i="20"/>
  <c r="T180" i="20" s="1"/>
  <c r="P179" i="20"/>
  <c r="T179" i="20" s="1"/>
  <c r="V172" i="20"/>
  <c r="J181" i="20"/>
  <c r="V181" i="20" s="1"/>
  <c r="I188" i="20"/>
  <c r="P175" i="20" s="1"/>
  <c r="T175" i="20" s="1"/>
  <c r="N190" i="20"/>
  <c r="H203" i="20"/>
  <c r="W172" i="20"/>
  <c r="H181" i="20"/>
  <c r="N189" i="20"/>
  <c r="N187" i="20"/>
  <c r="O79" i="21" l="1"/>
  <c r="H98" i="21"/>
  <c r="H80" i="21"/>
  <c r="O85" i="21"/>
  <c r="O80" i="21"/>
  <c r="E75" i="21"/>
  <c r="H93" i="21"/>
  <c r="O83" i="21"/>
  <c r="O87" i="21"/>
  <c r="O84" i="21"/>
  <c r="O76" i="21"/>
  <c r="O86" i="21"/>
  <c r="O82" i="21"/>
  <c r="H95" i="21"/>
  <c r="I92" i="21"/>
  <c r="I101" i="21" s="1"/>
  <c r="X75" i="21"/>
  <c r="H82" i="21"/>
  <c r="H94" i="21"/>
  <c r="E76" i="21"/>
  <c r="H96" i="21"/>
  <c r="H81" i="21"/>
  <c r="H85" i="21"/>
  <c r="F88" i="21"/>
  <c r="F89" i="21" s="1"/>
  <c r="I79" i="21"/>
  <c r="H79" i="21" s="1"/>
  <c r="C106" i="21"/>
  <c r="F106" i="21" s="1"/>
  <c r="B101" i="21"/>
  <c r="N88" i="21"/>
  <c r="R74" i="21"/>
  <c r="U74" i="21" s="1"/>
  <c r="R73" i="21"/>
  <c r="U73" i="21" s="1"/>
  <c r="H83" i="21"/>
  <c r="I198" i="20"/>
  <c r="H198" i="20" s="1"/>
  <c r="H199" i="20"/>
  <c r="O186" i="20"/>
  <c r="H201" i="20"/>
  <c r="E181" i="20"/>
  <c r="I202" i="20"/>
  <c r="R176" i="20" s="1"/>
  <c r="U176" i="20" s="1"/>
  <c r="H191" i="20"/>
  <c r="O188" i="20"/>
  <c r="O182" i="20"/>
  <c r="O192" i="20"/>
  <c r="O193" i="20"/>
  <c r="H186" i="20"/>
  <c r="O191" i="20"/>
  <c r="O187" i="20"/>
  <c r="O185" i="20"/>
  <c r="O190" i="20"/>
  <c r="H187" i="20"/>
  <c r="F194" i="20"/>
  <c r="F195" i="20" s="1"/>
  <c r="I185" i="20"/>
  <c r="H188" i="20"/>
  <c r="H189" i="20"/>
  <c r="R180" i="20"/>
  <c r="U180" i="20" s="1"/>
  <c r="R179" i="20"/>
  <c r="U179" i="20" s="1"/>
  <c r="H200" i="20"/>
  <c r="W181" i="20"/>
  <c r="X181" i="20" s="1"/>
  <c r="E182" i="20"/>
  <c r="N194" i="20"/>
  <c r="X172" i="20"/>
  <c r="C212" i="20"/>
  <c r="F212" i="20" s="1"/>
  <c r="B207" i="20"/>
  <c r="H204" i="20"/>
  <c r="H92" i="21" l="1"/>
  <c r="O88" i="21"/>
  <c r="R66" i="21"/>
  <c r="U66" i="21" s="1"/>
  <c r="I102" i="21"/>
  <c r="E102" i="21"/>
  <c r="R75" i="21"/>
  <c r="I88" i="21"/>
  <c r="P66" i="21"/>
  <c r="T66" i="21" s="1"/>
  <c r="R172" i="20"/>
  <c r="U172" i="20" s="1"/>
  <c r="O194" i="20"/>
  <c r="H202" i="20"/>
  <c r="I207" i="20"/>
  <c r="R181" i="20" s="1"/>
  <c r="P172" i="20"/>
  <c r="T172" i="20" s="1"/>
  <c r="I194" i="20"/>
  <c r="H185" i="20"/>
  <c r="E89" i="21" l="1"/>
  <c r="P75" i="21"/>
  <c r="R76" i="21"/>
  <c r="U75" i="21"/>
  <c r="I208" i="20"/>
  <c r="E208" i="20"/>
  <c r="R182" i="20"/>
  <c r="U181" i="20"/>
  <c r="E195" i="20"/>
  <c r="P181" i="20"/>
  <c r="P76" i="21" l="1"/>
  <c r="T75" i="21"/>
  <c r="P182" i="20"/>
  <c r="T181" i="20"/>
</calcChain>
</file>

<file path=xl/comments1.xml><?xml version="1.0" encoding="utf-8"?>
<comments xmlns="http://schemas.openxmlformats.org/spreadsheetml/2006/main">
  <authors>
    <author>User</author>
  </authors>
  <commentList>
    <comment ref="J97" authorId="0" shapeId="0">
      <text>
        <r>
          <rPr>
            <b/>
            <sz val="9"/>
            <color indexed="81"/>
            <rFont val="Tahoma"/>
            <family val="2"/>
          </rPr>
          <t>User:</t>
        </r>
        <r>
          <rPr>
            <sz val="9"/>
            <color indexed="81"/>
            <rFont val="Tahoma"/>
            <family val="2"/>
          </rPr>
          <t xml:space="preserve">
</t>
        </r>
        <r>
          <rPr>
            <sz val="12"/>
            <color indexed="81"/>
            <rFont val="Tahoma"/>
            <family val="2"/>
          </rPr>
          <t>doar Buc-Ploiesti este 3.393.812mii lei cf HG 737/2008</t>
        </r>
        <r>
          <rPr>
            <sz val="9"/>
            <color indexed="81"/>
            <rFont val="Tahoma"/>
            <family val="2"/>
          </rPr>
          <t xml:space="preserve">
</t>
        </r>
      </text>
    </comment>
    <comment ref="M114" authorId="0" shapeId="0">
      <text>
        <r>
          <rPr>
            <b/>
            <sz val="9"/>
            <color indexed="81"/>
            <rFont val="Tahoma"/>
            <family val="2"/>
          </rPr>
          <t>User:</t>
        </r>
        <r>
          <rPr>
            <sz val="9"/>
            <color indexed="81"/>
            <rFont val="Tahoma"/>
            <family val="2"/>
          </rPr>
          <t xml:space="preserve">
Executie + supervizare. Alesd Sud si Nord.
</t>
        </r>
      </text>
    </comment>
  </commentList>
</comments>
</file>

<file path=xl/sharedStrings.xml><?xml version="1.0" encoding="utf-8"?>
<sst xmlns="http://schemas.openxmlformats.org/spreadsheetml/2006/main" count="1377" uniqueCount="478">
  <si>
    <t>Nr. crt.</t>
  </si>
  <si>
    <t>Denumirea proiectului de investiţii semnificativ</t>
  </si>
  <si>
    <t>OPC</t>
  </si>
  <si>
    <t>PC / PN</t>
  </si>
  <si>
    <t>Cod fişă</t>
  </si>
  <si>
    <t>Punctaj ordonator principal de credite</t>
  </si>
  <si>
    <t>Indicatori eficienţă economică (euro / %)</t>
  </si>
  <si>
    <t>Constructia Autostrazii Orastie - Sibiu, km 0+000 - km 82+070</t>
  </si>
  <si>
    <t>PC</t>
  </si>
  <si>
    <t>MS</t>
  </si>
  <si>
    <t>Constructia autostrazii Timisoara – Lugoj si variantei de ocolire a orasului Timisoara la standard de autostrada, km 44+500 - km 79+625</t>
  </si>
  <si>
    <t>Constructia Variantei de Ocolire Targu Mures</t>
  </si>
  <si>
    <t>PN</t>
  </si>
  <si>
    <t>Constructia Autostrazii Lugoj - Deva</t>
  </si>
  <si>
    <t>”Ro-NET – Construirea unei infrastructuri naționale de broadband în zonele defavorizate, prin utilizarea fondurilor structurale”</t>
  </si>
  <si>
    <t>Constructia Autostrazii Sebes - Turda, km 0+000 - km 70+000</t>
  </si>
  <si>
    <t>Constructia Autostrazii Nadlac – Arad, km 0+000 - km 38+882</t>
  </si>
  <si>
    <t>Modernizare DN 5 sectorul Bucuresti - Adunatii Copaceni</t>
  </si>
  <si>
    <t>Largire la 4 benzi centura Bucuresti Sud intre A2 km 23+600 si A1 km 55+520</t>
  </si>
  <si>
    <t>Constructia Variantei de Ocolire a Municipiului Brasov</t>
  </si>
  <si>
    <t>Constructia Variantei de ocolire Stei</t>
  </si>
  <si>
    <t>Constructia Variantei de ocolire Targu Jiu</t>
  </si>
  <si>
    <t>Constructia Variantei de Ocolire Bacau</t>
  </si>
  <si>
    <t>ISPA 2000/RO/16/P/PT/002 - Largire la 4 benzi a DN 5, Adunatii Copaceni - Giurgiu</t>
  </si>
  <si>
    <t>Autostrada de Centura a Municipiului Bucuresti - Sector Centura Sud km 52+770 - 100+900</t>
  </si>
  <si>
    <t>Reabilitare DN6 Alexandria – Craiova</t>
  </si>
  <si>
    <t>Constructia Autostrazii Arad-Timisoara (inclusiv varianta de ocolire Arad), km 0+000 - km 44+500</t>
  </si>
  <si>
    <t>Constructia Variantei de Ocolire a Municipiului Constanta la standard de autostrada, km 0+000 - km 21+775</t>
  </si>
  <si>
    <t>MJ</t>
  </si>
  <si>
    <t>Modernizare centura rutiera a municipiului Bucuresti intre A1-DN7 si DN2-A2</t>
  </si>
  <si>
    <t>Modernizare DN 73 Pitesti-Campulung-Brasov km 13+800 - 42+850; km 54+050 - 128+250</t>
  </si>
  <si>
    <t>Reabilitare DN1H Zalau Alesd</t>
  </si>
  <si>
    <t>Autostrada Brasov- Cluj -  Bors</t>
  </si>
  <si>
    <t>DN 18  Moisei – Iacobeni, km 131+627- km 220+088</t>
  </si>
  <si>
    <t>Modernizarea infrastructurii privind siguranta circulatiei pe DN1, in sate lineare si puncte negre</t>
  </si>
  <si>
    <t>Reabilitare DN 15 Tg. Mures– Reghin, km 69+500- km 109+940 si DN15A Reghin – Saratel km 0+000 - km 46+597</t>
  </si>
  <si>
    <t>Reabilitare DN 14 Sibiu - Medias - Sighisoara, km 0+000 - km 51+100 si km 57+500 - km 89+400</t>
  </si>
  <si>
    <t>Varianta de ocolire Suceava 0+000 - 13+172</t>
  </si>
  <si>
    <t>Reabilitare DN 19 Lim. Jud. Bihor – Satu Mare, km 75+896 - 128+057</t>
  </si>
  <si>
    <t>Largire la 4 benzi DN 7, Baldana - Titu km 30+950 - 52+350, Jud. Dambovita</t>
  </si>
  <si>
    <t>Modernizare DN 29, Suceava - Botosani km 0+000 - 39+071, Jud. Suceava si Jud. Botosani</t>
  </si>
  <si>
    <t>Constructia Variantei de Ocolire Deva-Orastie la standard de autostrada</t>
  </si>
  <si>
    <t>Reabilitare DN1C/19; DN 1C Baia Mare - Livada, km 155+125 - km 200+170; DN1C Livada - Halmeu, km 200+170 - km 216+630; DN19 Satu-Mare -  Livada, km 135+000 - km 150+000</t>
  </si>
  <si>
    <t>ISPA/2000/RO/16/P/PT/004 - Reabilitarea DN 6, sectiunea Craiova - Drobeta Turnu Severin</t>
  </si>
  <si>
    <t>ISPA 2001/RO/16/P/PT/006 - Reabilitare DN 6,  Drobeta Turnu Severin - Lugoj</t>
  </si>
  <si>
    <t>Reabilitare DN 19 Oradea – Lim. Jud. Bihor, km 5+853 - 75+896</t>
  </si>
  <si>
    <t>Reabilitare DN 66 Petrosani - Simeria, km 136+000 - km 210+516</t>
  </si>
  <si>
    <t>DN 18   Sighetul Marmatiei  - Moisei, km 62+234- km 131+627</t>
  </si>
  <si>
    <t>Reabilitare DN1C Dej – Baia Mare, km 61+500 - km 147+990</t>
  </si>
  <si>
    <t>Reabilitare DN1H Zalau - Rastoci, km 75+446 - km 128+823</t>
  </si>
  <si>
    <t>Fluidizarea traficului pe DN 1 intre km 8+100 - 17+100 si centura Rutiera  in zona de nord a Municipiului Bucuresti - Ob.6</t>
  </si>
  <si>
    <t>Reabilitarea DN 79 Arad - Oradea, km 4+150 ÷ km 107+745</t>
  </si>
  <si>
    <t>Centura de ocolire Craiova varianta Sud  DN 56-DN 55-DN 6</t>
  </si>
  <si>
    <t>DN 18 - Baia Mare – Sighetul Marmatiei, km 3+522- km 62+234</t>
  </si>
  <si>
    <t>Varianta de ocolire Cluj Est</t>
  </si>
  <si>
    <t>Fluidizarea traficului pe DN1 intre km 8+100 - 17+100 si Centura Rutiera in zona de Nord a Mun. Bucuresti - Ob. 7</t>
  </si>
  <si>
    <t>Varianta de ocolire a municipiului Satu Mare</t>
  </si>
  <si>
    <t>Modernizare DN 71 Baldana - Targoviste - Sinaia km 0+000-44+130; km 51+041-109+905</t>
  </si>
  <si>
    <t>Reabilitare DN 1C, Cluj - Dej, km 8+300 - km 61+528</t>
  </si>
  <si>
    <t>Sporire capacitate de circulatie pe centura Ploiesti Vest Km 0+000 - 12+850</t>
  </si>
  <si>
    <t>Drum de centura in municipiul Oradea - Etapa a II-a</t>
  </si>
  <si>
    <t>Modernizare DN 72 Gaiesti - Ploiesti km 0+000 - 76+180</t>
  </si>
  <si>
    <t>Modernizare DN 67B Scoarta - Pitesti km 0+000 - 188+200</t>
  </si>
  <si>
    <t>Constructia si Reabilitarea sectiunilor 4 Si 5 ale Autostrazii Bucuresti - Cernavoda Km 97+300 - Km151+480</t>
  </si>
  <si>
    <t>Total</t>
  </si>
  <si>
    <t>Ministerul Sănătăţii</t>
  </si>
  <si>
    <t>Ministerul Justiţiei</t>
  </si>
  <si>
    <t>verificare</t>
  </si>
  <si>
    <t>Constructia variantei de ocolire Barlad</t>
  </si>
  <si>
    <t>Varianta de ocolire Timisoara Sud</t>
  </si>
  <si>
    <t>sf   0%</t>
  </si>
  <si>
    <t>sf    0,01-99,99%</t>
  </si>
  <si>
    <t>sf   100%</t>
  </si>
  <si>
    <t>distributie numar proiecte</t>
  </si>
  <si>
    <t>0-99,99</t>
  </si>
  <si>
    <t>Ministerul Apararii Nationale</t>
  </si>
  <si>
    <t>MApN</t>
  </si>
  <si>
    <t>dif</t>
  </si>
  <si>
    <t>Podul suspendat peste Dunare in zona Braila, judetele Braila si Tulcea</t>
  </si>
  <si>
    <t>-</t>
  </si>
  <si>
    <t>TOTAL</t>
  </si>
  <si>
    <t>DOAR 0-99</t>
  </si>
  <si>
    <t>distributie necesar finantare pe stadii fizice</t>
  </si>
  <si>
    <t>distributie cheltuieli pe stadii fizice</t>
  </si>
  <si>
    <t>preluare chelt</t>
  </si>
  <si>
    <t>verific total -3 categ</t>
  </si>
  <si>
    <t>SF 0</t>
  </si>
  <si>
    <t>SF 100</t>
  </si>
  <si>
    <t>distributie cheltuieli pe ministere</t>
  </si>
  <si>
    <t>distributie necesar pe ministere</t>
  </si>
  <si>
    <t>% din total nr proiecte</t>
  </si>
  <si>
    <t>diferenta/verificare</t>
  </si>
  <si>
    <t>distributie necesar pe stadii fizice - total</t>
  </si>
  <si>
    <t>Valoarea actualizată a proiectului
-mii lei-</t>
  </si>
  <si>
    <t>Alte informații</t>
  </si>
  <si>
    <t>verificare cu tabel</t>
  </si>
  <si>
    <t>distributie % cheltuieli pe ministere</t>
  </si>
  <si>
    <t>distributie % necesar pe ministere</t>
  </si>
  <si>
    <t>CH 0-99</t>
  </si>
  <si>
    <t>CH 100</t>
  </si>
  <si>
    <t>N 0-99</t>
  </si>
  <si>
    <t>N 100</t>
  </si>
  <si>
    <t>verif CH</t>
  </si>
  <si>
    <t>verif N</t>
  </si>
  <si>
    <t>nr pr 0-99</t>
  </si>
  <si>
    <t>nr pr 100</t>
  </si>
  <si>
    <t>metrorex</t>
  </si>
  <si>
    <t>centr</t>
  </si>
  <si>
    <t>anexa</t>
  </si>
  <si>
    <t>VA</t>
  </si>
  <si>
    <t>RF</t>
  </si>
  <si>
    <t>nr proiect</t>
  </si>
  <si>
    <t>centraliz</t>
  </si>
  <si>
    <t>cnair</t>
  </si>
  <si>
    <t>companii MT</t>
  </si>
  <si>
    <t>apmc</t>
  </si>
  <si>
    <t>afdj</t>
  </si>
  <si>
    <t>cfr</t>
  </si>
  <si>
    <t>acn</t>
  </si>
  <si>
    <t>MT centraliz</t>
  </si>
  <si>
    <t>Vact</t>
  </si>
  <si>
    <t>Rfin</t>
  </si>
  <si>
    <t>Punct</t>
  </si>
  <si>
    <t>SF</t>
  </si>
  <si>
    <t>SV</t>
  </si>
  <si>
    <t>dif punct</t>
  </si>
  <si>
    <t xml:space="preserve">Constructia Variantei de ocolire Craiova Sud </t>
  </si>
  <si>
    <t>total</t>
  </si>
  <si>
    <t>apmc si afdj</t>
  </si>
  <si>
    <t>total split MT</t>
  </si>
  <si>
    <t>Observații (comunicate de ordonatorii principali de credite)</t>
  </si>
  <si>
    <t>Drum expres Craiova-Pitesti și legaturile la drumurile existente</t>
  </si>
  <si>
    <t xml:space="preserve">Proiectare si executie Drum de legatura DN5 - km 60+500 - Soseaua de Centura - Pod Prieteniei km 61+400 </t>
  </si>
  <si>
    <t>Reabilitarea liniei de c.f. Frontiera-Curtici-Simeria parte componenta a Coridorului IV Paneuropean pentru circulatia trenurilor cu viteza maxima de 160 km/h, Sectiunea Frontiera-Curtici-Arad-km 614 (tronsonul 1) (Finanțat din titlul 56.03 - Programe din Fond de Coeziune)</t>
  </si>
  <si>
    <t>Reabilitarea liniei de de cale ferata Braşov – Simeria, componentă a Coridorului IV Pan-European, pentru circulaţia trenurilor cu viteză maximă de 160 km/h, sectiunea Sighișoara - Coşlariu (Finanțat din titlul 56.03 - Programe din FC și din titlul 58.03 - Programe din FC)</t>
  </si>
  <si>
    <t>Reabilitarea liniei de c.f. Brasov- Simeria, componentă a Coridorului IV Pan – European pentru circulaţia trenurilor cu viteza maximă de 160 km/h, sectiunea Coslariu - Simeria (Finanțat din titlul 56.03 - Programe din FC și din titlul 58.03 - Programe din FC)</t>
  </si>
  <si>
    <t xml:space="preserve">Modernizare DN28B Târgu Frumos – Botoșani km 0+000 – km 76+758
</t>
  </si>
  <si>
    <t>Apărări de maluri pe Canalul Sulina – Etapa finală (Finanțat din titlul 58.03 - Programe din Fond de Coeziune POIM 2014-2020)</t>
  </si>
  <si>
    <t>Autostrada Bucuresti - Brasov, km 0+000 -173+300</t>
  </si>
  <si>
    <t>Modernizarea infrastructurii portuare prin asigurarea creşterii adâncimilor şenalelor şi a bazinelor şi a siguranţei navigaţiei în Portul Constanţa (Finanțat din titlul 58.01 - Programul Operational Infrastructura Mare)</t>
  </si>
  <si>
    <t>Autostrada de Centura a Municipiului Bucuresti - Sector Centura Nord km 0+000 - 52+700</t>
  </si>
  <si>
    <t>Reabilitare DN 66 Filiasi Petrosani km 0+000 - km 131+000, Sector km 48+900 - km 93+500,Rovinari-Bumbesti Jiu</t>
  </si>
  <si>
    <t>Reabilitare DN 66 Filiasi - Petrosani km 0+000 - km 131+000 Sector km 93+500 - km 126+000, Bumbesti Jiu - Petrosani</t>
  </si>
  <si>
    <t>Constructia Variantei de Ocolire Caracal</t>
  </si>
  <si>
    <t>Constructia Variantei de Ocolire a Municipiului Sibiu la standard de autostrada</t>
  </si>
  <si>
    <t>Îmbunătăţirea condiţiilor de navigaţie pe Dunăre între Călăraşi şi Brăila, km  375 – km 175 (Finanțat din titlul 56.03 - Programe din Fond de Coeziune, dini 84.01.55.01 -Transferuri interne, respectiv din 84.01.55.01.28 - Chelt. neeligibile ISPA - Fonduri nerambursabile si din 84.08.55.01.09 - Programe ISPA)</t>
  </si>
  <si>
    <t xml:space="preserve">Spital Regional de Urgență Iași </t>
  </si>
  <si>
    <t>Canal navigabil Dunare-Marea Neagra; DCS 300/1978; TITLUL 55 (1.184.661 mii lei)</t>
  </si>
  <si>
    <t>Masura ISPA 2000/RO/16/P/PT/007 - Reabilitarea liniei CF Campina - Predeal</t>
  </si>
  <si>
    <t>Masura ISPA 2000/RO/16/P/PT/001 - Reabilitarea liniei CF Bucuresti - Constanta</t>
  </si>
  <si>
    <t>Reabilitare DN 56 Craiova-Calafat, km. 0+000 - km. 84+020</t>
  </si>
  <si>
    <t>Constructie Autostrada Cernavoda-Constanta tronsoanele Cernavoda-Medgidia km 151+300- km 171+791 si Medgidia-Constanta km 170+750-km 201+570</t>
  </si>
  <si>
    <t>Canal navigabil Poarta Alba-Midia, Navodari; DCS 409/1983; TITLUL 55 (1.083.338 mii lei)</t>
  </si>
  <si>
    <t>Pod rutier la km 0+540 al Canalului Dunare - Marea Neagra şi lucrări aferente infrastructurii rutiere şi de acces în Port Constanţa (Finantat din titlul 56.01 -  Programe din Fond de Dezv. Regionala)</t>
  </si>
  <si>
    <t>Reabilitare DN 76 (E79) Deva - Oradea, km. 0+000 - km. 184+390</t>
  </si>
  <si>
    <t>Pasaj suprateran DJ602 centura Bucuresti-Domnesti</t>
  </si>
  <si>
    <t xml:space="preserve">Electrificare linie de cale ferata Doaga - Tecuci - Barbosi, inclusiv dispecer feroviar Galati                                                         </t>
  </si>
  <si>
    <t>Modernizare DN52 Alexandria - T. Magurele km 1+350 - km 44+600, km 49+194 - km 52+649</t>
  </si>
  <si>
    <t>Modernizare DN 51 Alexandria - Zimnicea, km 2+600 - km 43+783</t>
  </si>
  <si>
    <t>Reabilitare DN 1 , Sercaia  - Limita jud. Brasov/Sibiu km 220+000 - 261+130</t>
  </si>
  <si>
    <t xml:space="preserve">Linie noua de cale ferata Valcele - Ramnicu - Valcea                                                              </t>
  </si>
  <si>
    <t xml:space="preserve">Largire la 4 benzi de circulatie DN 73 intre km. 7+000-11+100 si drum de legatura cu DN 73D </t>
  </si>
  <si>
    <t>Fluidizarea traficului pe DN1 intre km 8+100 - 17+100 si Centura Rutiera in zona de Nord a Mun. Bucuresti - Ob. 5a</t>
  </si>
  <si>
    <t>Proiect de constructie a variantei de ocolire a Municipiului Constanta BERD 33391 - componenta poduri dobrogene si calamitati</t>
  </si>
  <si>
    <t>Modernizare DN56C km 0+000 - km 60+375</t>
  </si>
  <si>
    <t>Port Constanţa Sud - Zona de acces a navelor pe Canalul Dunăre - Marea Neagră, TITLUL 55, (241.595 mii lei)</t>
  </si>
  <si>
    <t>CNAIR</t>
  </si>
  <si>
    <t>CFR</t>
  </si>
  <si>
    <t>NAVAL</t>
  </si>
  <si>
    <t>METROREX</t>
  </si>
  <si>
    <t>2022</t>
  </si>
  <si>
    <t>2023</t>
  </si>
  <si>
    <t xml:space="preserve">Autostrada Sibiu-Pitesti </t>
  </si>
  <si>
    <t>2027</t>
  </si>
  <si>
    <t>Lucrări de infrastructură necesare funcționării Colegiului Național Militar „Tudor Vladimirescu” în cazarma 878 Craiova</t>
  </si>
  <si>
    <t>nu au fost calculati</t>
  </si>
  <si>
    <t>2021</t>
  </si>
  <si>
    <t xml:space="preserve"> (contract reziliat)</t>
  </si>
  <si>
    <t>N/A</t>
  </si>
  <si>
    <t>Extreme Light Infrastructure - Nuclear Physics (ELI-NP)</t>
  </si>
  <si>
    <t>Reducerea Eroziunii Costiere Faza II (2014-2020)</t>
  </si>
  <si>
    <t>Amenajare complexă râu Bârzava și afluenți pe sector Bocșa - Gătaia – Denta, județul Caras-Severin și județul Timiș</t>
  </si>
  <si>
    <t>Mărirea gradului de siguranță a acumulării Colibița, județul Bistrița - Năsăud</t>
  </si>
  <si>
    <t>Amenajări hidrotehnice în b.h. Niraj, jud. Mureș</t>
  </si>
  <si>
    <t>WATMAN-Sistem informațional pentru managementul integrat al apelor</t>
  </si>
  <si>
    <t>Acumulare Runcu-jud. Maramureș</t>
  </si>
  <si>
    <t>Acumularea Mihăileni pe râul Crișul Alb, jud. Hunedoara</t>
  </si>
  <si>
    <t>Amenajarea complexa Vf. Câmpului, jud. Suceava și Botoșani</t>
  </si>
  <si>
    <t xml:space="preserve">Amenajare râu Jijia pentru combaterea inundațiilor în județele Botoșani și Iași </t>
  </si>
  <si>
    <t>Acumulare Ogrezeni, jud. Giurgiu</t>
  </si>
  <si>
    <t>Amenajarea râului Săsar în municipiul Baia Mare, jud. Maramureș</t>
  </si>
  <si>
    <t>ANAR</t>
  </si>
  <si>
    <t xml:space="preserve"> Institutul Regional de Oncologie Timișoara</t>
  </si>
  <si>
    <t>Extinderea sectiei de oncologie cu compartiment de radioterapie oncologica la Spitalul Universitar de Urgenta Bucuresti</t>
  </si>
  <si>
    <t>2030</t>
  </si>
  <si>
    <t>Modernizarea liniei de cale ferată București Nord - Aeroport Internașional Henri Coandă București - Faza I: Racord c.f. la Terminalul T1, Aeroport Internațional Henri Coandă București</t>
  </si>
  <si>
    <t>Varianta de ocolire Fălticeni</t>
  </si>
  <si>
    <t>Varianta de ocolire Dej</t>
  </si>
  <si>
    <t xml:space="preserve">Consolidare și protecție versanți DN 7A km 63+200 - km 86+601, judeţul Vâlcea
</t>
  </si>
  <si>
    <t>Consolidare şi amenajare scurgere ape DN 55 km 4 + 400 - 71 + 100, judeţul Dolj</t>
  </si>
  <si>
    <t>Varianta ocolitoare a oraşului Mediaş, pe DN 14</t>
  </si>
  <si>
    <t>Lot 1: Receptie Finala octombrie 2016
Lot 2: Receptie Finala decembrie 2019</t>
  </si>
  <si>
    <t>Cernavoda - Medgidia: Receptia finala din data de 28.06.2017
Medgidia - Constanta: Receptie Finala in data de 08.12.2015</t>
  </si>
  <si>
    <t>trim III 2022</t>
  </si>
  <si>
    <t>Palatul de Justiție Neamţ</t>
  </si>
  <si>
    <r>
      <t xml:space="preserve">Racorduri la reteaua de metrou din Bucuresti, tronsonul I Nicolae Grigorescu 2 - Anghel Saligny si tronsonul II Gara de Nord 2 - Basarab - Laminorului - Lac Straulesti </t>
    </r>
    <r>
      <rPr>
        <i/>
        <sz val="12"/>
        <rFont val="Times New Roman"/>
        <family val="1"/>
        <charset val="238"/>
      </rPr>
      <t>(Finantat prin programul sectorial Transporturi 2007-2013)</t>
    </r>
  </si>
  <si>
    <t>Beneficiar</t>
  </si>
  <si>
    <t>Reabilitare DN 17, Limita judetului Bistrita Nasaud/ Suceava - Suceava, km 116+000 - km 255+000</t>
  </si>
  <si>
    <t>Desi lucrarile au fost in totalitate finalizate, in cadrul proiectului mai este necesar a se efectua plati pentru sentinte civile</t>
  </si>
  <si>
    <t>Desi lucrarile au fost in totalitate finalizate, in cadrul proiectului mai este necesar a se efectua plati pentru sentinte civile, sentinte arbitrale, etc.</t>
  </si>
  <si>
    <t>Desi lucrarile au fost in totalitate finalizate, in cadrul proiectului mai este necesar a se efectua plati pentru: sentinte civile, certificate finale, asistenta juridica, audit de siguranta rutiera, etc.</t>
  </si>
  <si>
    <t>Desi lucrarile au fost in totalitate finalizate, in cadrul proiectului mai este necesar a se efectua plati pentru: sentinte civile, certificate finale, asistenta juridica, audit de siguranta rutiera, sentinte arbitrale etc.</t>
  </si>
  <si>
    <t xml:space="preserve">Reabilitare DN 2D Focșani - Ojdula intre km 0+000- km 118+873 </t>
  </si>
  <si>
    <t>Modernizare DN 2L Soveja-Lepșa km 60+145 - km 76+277</t>
  </si>
  <si>
    <t>Reabilitare DN 1 , Limita jud. Brasov/Sibiu - Veștem km 261+130 - 296+300</t>
  </si>
  <si>
    <t>Valoarea actualizata a proiectului s-a majorat cu valoarea din Decizia Arbitrala ICC Case 18851/GZ/GFG/FS/09.11.2017</t>
  </si>
  <si>
    <t>VENA A1-DN7=  41.906.102
VENA DN2-A2=  73.969.186</t>
  </si>
  <si>
    <t>Reabilitarea liniei de cale ferată Braşov-Simeria, componentă a Coridorului Rin - Dunăre, pentru circulaţia trenurilor cu viteza maximă de 160 km/h, tronsonul Braşov – Sighişoara
Finantat din fonduri CEF și buget de stat</t>
  </si>
  <si>
    <t>Varianta de ocolire a municipiului Zalău, etapa 2, între DN1F, km 79+625 - DJ 191C</t>
  </si>
  <si>
    <t>MTIC</t>
  </si>
  <si>
    <t>Varianta de ocolire Galaţi, judeţul Galaţi</t>
  </si>
  <si>
    <t>Modernizare şi extindere capacitate de operare în portul Medgidia</t>
  </si>
  <si>
    <t>Consolidare şi restaurare Cazino Constanţa - (clădire S + P + 1E + M, pod parţial şi rampa de acces către subsol) şi lucrări exterioare (reabilitarea platformă terasă, reţele utilităţi, zid de apărare şi balustradă)</t>
  </si>
  <si>
    <t>Spital Regional de Urgenţă Cluj</t>
  </si>
  <si>
    <t>Spital Regional de Urgenţă Craiova</t>
  </si>
  <si>
    <t>Drum expres Brăila - Galaţi</t>
  </si>
  <si>
    <t>Legãturã Centurã Oradea (Girație Calea Sîntandrei) – Autostrada A3 (Biharia), județul Bihor</t>
  </si>
  <si>
    <t xml:space="preserve">Modernizare drum național DN 1S km 0+000 – km 23+830 </t>
  </si>
  <si>
    <t>Drum de legătură autostrada A1 Arad - Timişoara - DN 69, judeţul Timiş</t>
  </si>
  <si>
    <t>Modernizare DN 29D Botoşani–Ştefăneşti, km 2+800 - km 18+500 şi km 21+800 - km 48+146, judeţul Botoşani</t>
  </si>
  <si>
    <t>Drum de legătură DN 66A km 47+600 - km 66+204, Câmpu lui Neag–Cerna", judeţul Gorj</t>
  </si>
  <si>
    <t>2024</t>
  </si>
  <si>
    <t>MMAP</t>
  </si>
  <si>
    <t>Construire sală polivalenta Municipiul Tulcea</t>
  </si>
  <si>
    <t>Centura municipiului Rădăuti, jud. Suceava</t>
  </si>
  <si>
    <t>Ministerul Mediului, Apelor și Pădurilor</t>
  </si>
  <si>
    <t>doar SF 0,01-99,99</t>
  </si>
  <si>
    <t>TOTAL SF0+SF100</t>
  </si>
  <si>
    <t xml:space="preserve">total sf 0+ sf100 </t>
  </si>
  <si>
    <t xml:space="preserve"> Platforma Multimodală Galați – înlăturarea blocajelor majore prin   modernizarea infrastructurii existente și asigurarea conexiunilor lipsă pentru rețeaua centrală Rhin – Dunăre / Alpi (finanțare CEF Transport 2015-RO-TM-0275-W, POIM 2014 - 2020 și surse private)</t>
  </si>
  <si>
    <t>2025</t>
  </si>
  <si>
    <t xml:space="preserve">Obiectivul va fi preluat de MDLPA - CNI SA pentru finalizare.
Estimăm ca finalizarea va avea loc în anul 2025.
</t>
  </si>
  <si>
    <t>Varianta de ocolire Targu Frumos</t>
  </si>
  <si>
    <t>Modernizare DN 7A Brezoi - Petrosani,  km 0+000 - 86+600, sector km 0+000 - 62+000</t>
  </si>
  <si>
    <t>3,10%</t>
  </si>
  <si>
    <t xml:space="preserve">Varianta de ocolire a municipiului Iasi -etapa I - Varianta Sud </t>
  </si>
  <si>
    <t>Sistem integrat pentru interventia la dezastre, urgente si crize</t>
  </si>
  <si>
    <t>SPP</t>
  </si>
  <si>
    <t>decembrie 2023</t>
  </si>
  <si>
    <t>Extindere si etajare Corp C1, conversie functionala in Academia de Muzica, extindere corp C2 si conversie functionala in ateliere de intretinere pentru cladirea principala, extindere si amenajare sala de sport in corp C4, str.Bucium FN, mun. Cluj  Napoca, jud. Cluj</t>
  </si>
  <si>
    <t>Interconectarea clădirilor existente și construcție nouă în incinta Spitalului Clinic Județean de Urgență «Pius Brânzeu» Timișoara în vederea reorganizării circuitelor medicale pentru departamentele: Unitate Primiri Urgențe (UPU), Chirurgie, Anestezie și Terapie Intensivă (ATI) și Centru de Mari Arși</t>
  </si>
  <si>
    <t>Stadiu fizic
 (%)</t>
  </si>
  <si>
    <t>Stadiu valoric (%)</t>
  </si>
  <si>
    <t>Termenul de finalizare a proiectului</t>
  </si>
  <si>
    <t>Anexa 1 la memorandum</t>
  </si>
  <si>
    <t>LISTA</t>
  </si>
  <si>
    <t>proiectelor de investiţii publice semnificative prioritizate</t>
  </si>
  <si>
    <t>Podul nou de la Cosmesti, peste Siret, pe DN 24 km 7+620 (inclusiv varianta de drum nou de cca. 5,6 km)</t>
  </si>
  <si>
    <t>Varianta Ocolitoare Sfantu Gheorghe</t>
  </si>
  <si>
    <t>Varianta de ocolire Buftea</t>
  </si>
  <si>
    <t>Varianta de ocolire Husi</t>
  </si>
  <si>
    <t>Varianta de ocolire Iasi - etapa 2- Varianta Nord</t>
  </si>
  <si>
    <t>Varianta ocolitoare Giurgiu</t>
  </si>
  <si>
    <t>Port Brăila - lucrări de infrastructură portuară a sectorului portuar din incinta Bazin Docuri (Finanțat din titlul 58, POIM, HG nr. 894/2020)</t>
  </si>
  <si>
    <t>DANUBE - Rețea de acces la Dunăre  - Deblocarea circulației în Europa prin dezvoltarea în România a unei infrastructuri de porturi TEN-T de înaltă calitate în condiții economice optime - Port Giurgiu, HG nr. 284/2021, finanțare POIM 2014 - 2020, titlul 58</t>
  </si>
  <si>
    <t>Reabilitarea și modernizarea infrastructurii de transport naval în porturile din afara rețelei TEN-T - Port Corabia, HG nr. 285/2021, finanțare POIM 2014 - 2020, titlul 58</t>
  </si>
  <si>
    <t>Modernizarea infrastructurii de distribuție a energiei electrice în Portul Constanța; HG nr. 413 /2021, finanțare POIM 2014 - 2020, titlul 58</t>
  </si>
  <si>
    <t>Construire Terminal Plecari Curse Externe</t>
  </si>
  <si>
    <t xml:space="preserve">S.N.  Aeroportul Internațional Timișoara ”Traian Vuia” S.A. </t>
  </si>
  <si>
    <t>MTI</t>
  </si>
  <si>
    <t>MDLPA</t>
  </si>
  <si>
    <t>MDLPA prin C.N.I. S.A. pe perioada realizării investiței U.A.T. Cluj dupa finalizare</t>
  </si>
  <si>
    <t>MDLPA prin C.N.I. S.A. pe perioada realizării investiței, respectiv UAT Constanța dupa finalizare</t>
  </si>
  <si>
    <t>MDLPA prin C.N.I. S.A. pe perioada realizării investiței, respectiv UAT Tulceaa dupa finalizare</t>
  </si>
  <si>
    <t>Modernizarea linie CF Bucureşti Nord-Jilava-Giurgiu Nord-Giurgiu Nord Frontieră"-Lotul 1: Redeschiderea circulaţiei feroviare pe pod, peste râul Argeş între Vidra şi Comana</t>
  </si>
  <si>
    <t>MCID</t>
  </si>
  <si>
    <t>Lucrări de investiții și  intervenții în cazarma 705 Pitești</t>
  </si>
  <si>
    <t>Realizare pavilion nou medicina operațională - politraumă D+P+4E, drum acces și rețele în cazarma 646 Brașov</t>
  </si>
  <si>
    <t>MDLPA prin C.N.I. S.A. pe perioada realizării investiței, Arhiepiscopia Romanului si Bacaului,  dupa realizarea investitiei</t>
  </si>
  <si>
    <t>Construire Camin Studentesc Universitatea de Vest Timisoara</t>
  </si>
  <si>
    <t>MDLPA prin C.N.I. S.A. pe perioada realizării investiței, respectiv Universitatea de Vest din Timisoara dupa finalizarea investitiei</t>
  </si>
  <si>
    <t>Complex Multifunctional Sala Polivalenta Brasov, Municipiul Brasov, judet Brasov</t>
  </si>
  <si>
    <t>“Reabilitare, extindere si dotare corp spital nou C1+C2”, Spitalul Judetean de Urgenta Giurgiu, jud. Giurgiu</t>
  </si>
  <si>
    <t>MDLPA prin C.N.I. S.A. pe perioada realizării investiței, respectiv  Consiliul Judetean Giugiu dupa finalizare</t>
  </si>
  <si>
    <t>MDLPA prin C.N.I. S.A. pe perioada realizării investiței, respectiv U.A.T. Municipiul  Brasov dupa finalizare</t>
  </si>
  <si>
    <t>Sala Polivalenta 5000 locuri, municipiul Suceava, județul Suceava</t>
  </si>
  <si>
    <t>MDLPA prin C.N.I. S.A. pe perioada realizării investiței, respectiv U.A.T. Suceava dupa finalizare</t>
  </si>
  <si>
    <t>Construirea unui centru de arşi şi reorganizarea fluxurilor medicale ale spitalului pentru o mai bună poziţionare şi conectare a Departamentelor Urgenţă, ATI şi chirurgie pentru Spitalul Clinic de Urgenţă pentru Copii «Grigore Alexandrescu» Bucureşti</t>
  </si>
  <si>
    <t>Spitalul Clinic de Urgenţă pentru Copii «Grigore Alexandrescu» Bucureşti"</t>
  </si>
  <si>
    <t>Spitalul Universitar de Urgenta Bucuresti</t>
  </si>
  <si>
    <t>DSP Timisoara</t>
  </si>
  <si>
    <t>Spitalul Clinic Județean de Urgență «Pius Brânzeu» Timișoara</t>
  </si>
  <si>
    <t>P47 Berceni  - Penitenciar 1000 de locuri cu regim de maximă siguranţă şi închis – Penitenciarul Ploieşti  – judeţul Prahova</t>
  </si>
  <si>
    <t>Administrația Națională a Penitenciarelor</t>
  </si>
  <si>
    <t>P48 Unguriu  - Penitenciar 900 de locuri cu regim semideschis şi deschis” – Penitenciarul Focșani, jud. Buzău</t>
  </si>
  <si>
    <t>Tribunalul Neamț și Judecătoria Piatra Neamț</t>
  </si>
  <si>
    <t>Reabilitare si Extindere Asezamant Spitalicesc PRECISTA</t>
  </si>
  <si>
    <r>
      <t xml:space="preserve">Magistrala 5 Drumul Taberei - Pantelimon. 
</t>
    </r>
    <r>
      <rPr>
        <i/>
        <sz val="12"/>
        <rFont val="Times New Roman"/>
        <family val="1"/>
        <charset val="238"/>
      </rPr>
      <t xml:space="preserve"> (Imprumut BEI, Programul Operational Sectorial Transporturi 2007-2013,  Programul Operațional Infrastructură Mare aferent cadrului financiar 2014-2020) </t>
    </r>
  </si>
  <si>
    <t>2026</t>
  </si>
  <si>
    <t>2035</t>
  </si>
  <si>
    <t>Rest de finanţat până la finalizarea proiectului 
-mii lei-</t>
  </si>
  <si>
    <t>31.12.2023</t>
  </si>
  <si>
    <t>PVRTL 10.05.2021</t>
  </si>
  <si>
    <t xml:space="preserve"> PC</t>
  </si>
  <si>
    <t>contractele de executie lucrari sunt in faza de licitatie</t>
  </si>
  <si>
    <t>Valoare actualizata din anexa 3/24/29 de la legea bugetului de stat reprezinta valoarea de implementare a proiectului, conform contractelor semnat, respectiv estimate a fi semnate in perioada urmatoare</t>
  </si>
  <si>
    <t>Termenele de finalizare sunt inscrise in conformitate cu prevederile contractuale urmand a fi actualizate ulterior aditionarii contractelor de executie lucrari</t>
  </si>
  <si>
    <t>trim II 2025</t>
  </si>
  <si>
    <t>Obiectiv de investiții finalizat în anul 2019 (recepție finală);
Suma de la valoarea actualizată a proiectului este suma din contractul de finanțare semnate între CN APM SA Constanța și AM POST 2007 - 2013</t>
  </si>
  <si>
    <t xml:space="preserve">Stadiul fizic este raportat la întregul obiectiv de investiții </t>
  </si>
  <si>
    <t xml:space="preserve">A fost modificata valoarea din Anexa 3 conform Ordinului MTIC nr. 1032/2020 </t>
  </si>
  <si>
    <t>In vederea justificarii valorii inscrise in coloana 8 – Valoarea actualizata a proiectului, va transmitem anexat Avizul MTI 25/23/2010, cu mentiunea ca termenul de finalizare este inscris in conformitate cu prevederile contractuale, urmand a fi actualizat ulterior aditionarii contractului de executie lucrari</t>
  </si>
  <si>
    <t>(contract reziliat in data de 29.12.2017)
Reluare licitatie 2021
In cadrul proiectului sus mentionat, in data de 29.12.2017, în baza prevederilor art. 1321 din Codul Civil, a fost încheiat Acordul de voință al Părților nr. 92/101332 privind încetarea contractului de execuție nr. 92/38100/30.06.2014  “Construcția variantei de ocolire Târgu Mureș”. In vederea lansarii procedurii de licitatie pentru restul lucrarilor ramase de executat au fost cuprinse în PIP (Anexa 3/24/29) credite de angajament si bugetare aferente valorii estimate pentru nou contract ce se va semna. 
In consecinta, la nivelul CNAIR SA a fost demarata procedura de actualizare a indicatorilor tehnico-economici.</t>
  </si>
  <si>
    <t xml:space="preserve">	Termenul de finalizare este inscris in conformitate cu prevederile contractuale, urmand a fi actualizat ulterior aditionarii contractului de executie lucrari</t>
  </si>
  <si>
    <t>Desi lucrarile au fost in totalitate finalizate, in cadrul proiectului mai este necesar a se efectua plati pentru sentinte civile
Valoarea totala a proiectului inscrisa in PIP (Anexa 3/24/29) reprezinta valoarea de executie a proiectului asa cum au fost semnate si implementate contractele de achizitie publica pentru toate obiectivele, respectiv 1A, 1B, 1C, 1D, 2,3,4, 5A si 5B.
Mentionam ca stadiul fizic este 99% deoarece pentru obiectivul 5A a fost realizata Receptia la Terminarea Lucrarilor, urmand ca pe perioada de garantie sa fie efectuate lucrarile ramase de executat. Pentru toate celelalte obiective a fost efectuata inclusiv Receptia Finala</t>
  </si>
  <si>
    <t>Termenul de finalizare este inscris in conformitate cu prevederile contractuale, urmand a fi actualizat ulterior aditionarii contractului de executie lucrari</t>
  </si>
  <si>
    <t>Desi lucrarile au fost in totalitate finalizate, in cadrul proiectului mai este necesar a se efectua plati pentru sentinte civile
Valoarea actualizată a proiectului introdusa în PIP (Anexa 3/24/29) difera de cea din Anexa 3 din cauza diferentelor minore datorate cursului valutar utilizat. Astfel, precizam faptul ca am actualizat valoarea de proiect din cadrul Anexei 3 conform cu cea din PIP.</t>
  </si>
  <si>
    <t xml:space="preserve">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 nr. 330 /22.11.2007 privind aprobarea Ordonanţei de urgenţă a Guvernului nr. 71/2007 pentru aprobarea Contractului de finanţare dintre România, Banca Europeană de Investiţii şi Compania Naţională de Autostrăzi şi Drumuri Naţionale din România - S.A. pentru finanţarea Proiectului privind reabilitarea drumurilor, Etapa a VI-a    </t>
  </si>
  <si>
    <t>Desi lucrarile au fost in totalitate finalizate, in cadrul proiectului mai este necesar a se efectua plati pentru sentinte civile
In cadrul Formularului cod 29 au fost cuprinse toate cheltuielile aferente proiectului,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</si>
  <si>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Desi lucrarile au fost in totalitate finalizate, in cadrul proiectului mai este necesar a se efectua plati pentru sentinte civile
Valoarea actualizată a proiectului introdusa în PIP (Anexa 3/24/29) difera de cea din Anexa 3 din cauza diferentelor minore datorate cursului valutar utilizat. Astfel, precizam faptul ca am actualizat valoarea de proiect din cadrul Anexei 3 conform cu cea din PIP</t>
  </si>
  <si>
    <t>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Legea nr.527/09.10.2001 pentru ratificarea Contractului de Finantare dintre Romania si Banca Europeană de Investiţii şi Administraţia Naţională a Drumurilor pentru finantarea proiectului de reabilitare a drumurilor Etapa IV</t>
  </si>
  <si>
    <t>Desi lucrarile au fost in totalitate finalizate, in cadrul proiectului mai este necesar a se efectua plati pentru sentinte civile, sentinte arbitrale, etc.
In cadrul formularelor cod 23 aferente proiectelor cu finantare nerambursabila se cuprind toate cheltuielile aferente unui proiect, atat cele curente, cat si cele de capital. Pentru aceste proiect au fost decontate inclusiv sume aferente sentintelor arbitrale, penalitati, dobanzi, cheluieli de judecata, plati ce nu sunt de natura investitiilor. 
Astfel, cu ocazia primei rectificari bugetare, in cazul in care ordonanta de urgenta pentru rectificare va permite actualizarea „Anilor Anteriori”, CNAIR va actualiza sumele inscrise în PIP (Anexa 3/24/29) prin diminuarea acestora cu valoarea platilor reprezentand cheltuieli care nu sunt de natura investitiilor.</t>
  </si>
  <si>
    <t>Desi lucrarile au fost in totalitate finalizate, in cadrul proiectului mai este necesar a se efectua plati pentru: sentinte civile, certificate finale, asistenta juridica, audit de siguranta rutiera, sentinte arbitrale etc.
Proiectul a fost derulat in conformitate cu Legea 500/2202,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Legea nr. 86/18.03.2003 pentru aprobarea Ordonanţei de urgenţă a Guvernului nr. 159/2002 privind ratificarea Contractului de finanţare dintre România şi Banca Europeană de Investiţii şi Administraţia Naţională a Drumurilor pentru finanţarea Proiectului de reabilitare a drumurilor, Etapa a V-a</t>
  </si>
  <si>
    <t>Autostrada Ploiești - Buzău</t>
  </si>
  <si>
    <t>Varianta ocolitoare a orașului Aleșd</t>
  </si>
  <si>
    <t>Varianta de ocolire Arad Est</t>
  </si>
  <si>
    <t>Cheltuieli efectuate pana la 31.12.2021</t>
  </si>
  <si>
    <t>Buget alocat 2022</t>
  </si>
  <si>
    <t>MDLPA prin C.N.I. S.A. pe perioada realizării investiței, respectiv Univeristatea Ștefan cel Mare după finalizare</t>
  </si>
  <si>
    <t>Construire centru sportiv si de recreere - str. Sportului, nr.2,  Municipiul. Salonta, județul Bihor</t>
  </si>
  <si>
    <t>MDLPA prin C.N.I. S.A. pe perioada realizării investiței, respectiv UAT Salonta după finalizare</t>
  </si>
  <si>
    <t>Reabilitare, consolidare, modernizare, extindere si dotare a sediului istoric al Academiei Romane si Construire Corp nou - Aula , Sector 1, Bucuresti.</t>
  </si>
  <si>
    <t>MDLPA prin C.N.I. S.A. pe perioada realizării investiței, respectiv Academia Română după finalizare</t>
  </si>
  <si>
    <t xml:space="preserve">Construire corpuri de cladire Universitatea de Medicina si Farmacie “Victor Babes” Timisoara, jud. Timis
</t>
  </si>
  <si>
    <t>Construire Stadion Municipal Targoviste, județul Dâmbovița</t>
  </si>
  <si>
    <t xml:space="preserve">Construire bazin de inot multifunctional - structura, Municipiul. Tg Secuiesc, județul Covasna </t>
  </si>
  <si>
    <t>Construire Spital Orasenesc Sinaia, judetul Prahova</t>
  </si>
  <si>
    <t>Reabilitare si modernizare DJ 102 I, Valea Doftanei, jud. Prahova - Bradet, jud. Brasov</t>
  </si>
  <si>
    <t>MDLPA prin C.N.I. S.A. pe perioada realizării investiței, respectiv Universitatea de medicina si farmacie Victor Babeș după finalizare</t>
  </si>
  <si>
    <t>MDLPA prin C.N.I. S.A. pe perioada realizării investiței, respectiv UAT Târgoviște după finalizare</t>
  </si>
  <si>
    <t>MDLPA prin C.N.I. S.A. pe perioada realizării investiței, respectiv UAT Tg. Secuiesc după finalizare</t>
  </si>
  <si>
    <t>MDLPA prin C.N.I. S.A. pe perioada realizării investiței, respectiv UAT Brașov și UAT Prahova după finalizare</t>
  </si>
  <si>
    <t>MDLPA prin C.N.I. S.A. pe perioada realizării investiței, respectiv UAT Sinaia după finalizare</t>
  </si>
  <si>
    <t>Proiectul de investiții nu a fost introdus în PIP al Ministeurlui Justiției pe anul 2022 și nu a fost alocat un cod de fișă</t>
  </si>
  <si>
    <t>Construirea unui centru de arși și reorganizarea fluxurilor medicale ale spitalului pentru o mai bună poziționare și conectare a Departamentelor Urgență, ATI și chirurgie pentru Spitalul Clinic Județean de Urgență Târgu Mureș</t>
  </si>
  <si>
    <t>Spitalul clinic județean de urgență Tg. Mureș</t>
  </si>
  <si>
    <t>Recompartimentare clădire existenta și extindere cu un corp nou - Sectia clinica Neurochirurgie - Centru de Patologie Vasculo-Cerebrala și Neurochirurgie</t>
  </si>
  <si>
    <t>Spitalul clinic județean de urgență Cluj Napoca</t>
  </si>
  <si>
    <t>Cheltuielile efectuate în anul precedent și cele estimate pe anul acesta sunt din fonduri de la Consiliul Județean Cluj</t>
  </si>
  <si>
    <t xml:space="preserve">Indicatorii tehnico-economici sunt în curs de reaporbare. </t>
  </si>
  <si>
    <t>Lucrări de infrastructură necesare funcționării Colegiului Național Militar ”Alexandru Ioan Cuza”, în cazarma 3607 Constanța</t>
  </si>
  <si>
    <t>Amenajarea complexă a râului Jiu în vederea apărării împotriva inundațiilor a municipiului Craiova</t>
  </si>
  <si>
    <t>30.06.2022</t>
  </si>
  <si>
    <t>Modernizare si extindere capacitate de oeprare in portul Luminita</t>
  </si>
  <si>
    <t>Trin IV 2022</t>
  </si>
  <si>
    <t>Finalizat 2020</t>
  </si>
  <si>
    <t>Finalizat 2017</t>
  </si>
  <si>
    <t>Desi lucrarile au fost in totalitate finalizate, in cadrul proiectului mai este necesar a se efectua plati pentru sentinte civile.
Pentru acest proiect a fost efectuata Receptia la Terminarea Lucrarilor, in perioada de garantie Antreprenorul avand de efectuat lucrari pentru marcaje rutiere si parapeti</t>
  </si>
  <si>
    <t>Trim IV 2022</t>
  </si>
  <si>
    <t>Trim IV 2023</t>
  </si>
  <si>
    <t>RTL 22.12.2021</t>
  </si>
  <si>
    <t>Finalizat 2019</t>
  </si>
  <si>
    <t>1366
(18445)</t>
  </si>
  <si>
    <t>1296
(12086)</t>
  </si>
  <si>
    <t>376
(502)</t>
  </si>
  <si>
    <t>375
(501)</t>
  </si>
  <si>
    <t xml:space="preserve">A mai ramas de efectuat receptia pentru substatia electronica din Predeal. </t>
  </si>
  <si>
    <t>Vor fi transmise procesele verbale la terminare si procesele verbale finale. Avand in vedere finalizarea lucrarilor si plata tuturor litigiilor se va propune excluderea proiectului din PIP.</t>
  </si>
  <si>
    <t>Au fost efectuate receptii la terminare pe loturile de lucrari civile, infrastructura si suprastructura. Sunt in derulare lucrari la lotul de ERTMS și litigii in curs.</t>
  </si>
  <si>
    <t>A fost efectuată receptia la terminare in anul 2019, lucrarile sunt in garantie pana la efectuarea receptiei finale.Sunt litigii in curs.</t>
  </si>
  <si>
    <t xml:space="preserve"> - Proiectul NU mai respectă rolul și funcțiile sale principale și NU mai reprezintă ca prioritate în cadrul strategiilor (naționale, sectoriale, regionale, etc.) în domeniul transporturilor. 
- Finanțarea va afecta alocările bugetare pentru alte proiecte cuprinse în programul de investiții
- Studiul de fezabilitate care a stat la baza aprobării obiectivului/ proiectului de investiții publice și a indicatorilor tehnico-economici ai acestuia NU mai este de actualitate, motiv pentru care este necesar elaborarea unui studiu privind soluțiile de implementare a proiectului de cale ferată Vâlcea-Vâlacele așa cum a fost comunicat catre MTI prin adresa nr. 9/5/821/17.12.2021</t>
  </si>
  <si>
    <t>1265
(14116)</t>
  </si>
  <si>
    <t>Valoarea de 765.380 mii lei prezentata ca si cheltuieli preliminate 2020 - reprezinta valoarea din formularele F12 aprobate la finalul anului 2020 de catre MIPE. Platile efective sunt in valoare de 459.041 mii lei (cuprinde si sumele din Fișa proiectului 14116, in valoare de 11.877 mii lei aferenta HG-urilor de exprorieri). 
Fisa cod obiectiv 1265 a fost omisa la proiectul de buget pentru anul 2022, iar cu ocazia proximei rectificari bugetare, aceasta va fi reintrodusa in PIP.</t>
  </si>
  <si>
    <t>Receptia la terminarea lucrarilor a avut loc in anul 2021, iar in prezent este in perioada de garantie de 60 de luni.
Suma declarata in coloana 10 ca fiind cheltuieli efectuate pana la 31.12.2021 este compusa din 378.896 mii lei (cheltuieli efectuate pana la 31.12.2020), 18.699 mii lei (cheltuielile efectuate in anul 2021, avand sursa de finantare Titlul 58) și  135.195 mii lei  (cheltuielile efectuate in anul 2021, avand sursa de finantare MIE/CEF, cofinantare/TVA prin bugetul MIPE). Cu ocazia proximei rectificari bugetare, F29 va fi revizuit.</t>
  </si>
  <si>
    <t>Stadiul financiar de 20%, include si avansul acordat antreprenorului conform prevederilor contractuale.</t>
  </si>
  <si>
    <r>
      <t>Reabilitarea liniei de cale ferată Bucuresti-Constanta, componentă a Coridorului IV Pan-European pentru viteza de maxim de 160 km/h - Lucrari in statiile c.f.</t>
    </r>
    <r>
      <rPr>
        <b/>
        <sz val="12"/>
        <rFont val="Arial"/>
        <family val="2"/>
        <charset val="238"/>
      </rPr>
      <t xml:space="preserve"> Fetesti si Ciulnita</t>
    </r>
    <r>
      <rPr>
        <sz val="12"/>
        <rFont val="Arial"/>
        <family val="2"/>
        <charset val="238"/>
      </rPr>
      <t>, de pe linia de cale ferata Bucuresti-Constanta</t>
    </r>
    <r>
      <rPr>
        <b/>
        <sz val="12"/>
        <rFont val="Arial"/>
        <family val="2"/>
        <charset val="238"/>
      </rPr>
      <t xml:space="preserve">
</t>
    </r>
  </si>
  <si>
    <t xml:space="preserve">Valoarea reală a proiectului este valoarea aprobată prin HG 799/2021 din care s-a scăzut valoarea etapelor de proiectare (tema de proiectare, studiu de prefeabilitate, studiu de fezabilitate), achitate din fondurile proiectului BIRD 8362RO aprobat prin Legea nr. 179/2014. </t>
  </si>
  <si>
    <t>Estimarea cheltuielilor s-a facut tinand cont de faptul ca obiectivul de investitii se afla in procedura de achizitie a contractului de executie. Astfel, in estimarea cheltuielilor si a termenului de finalizare au fost luate in calcul termenele legale privind finalizarea procedurii de achizitie publica, fara eventuale contestatii al caror termen nu poate fi cuantificat in aceasta etapa.</t>
  </si>
  <si>
    <t xml:space="preserve">Procedura de achizitii a obiectivului anulata. Este necesara o revizuire a documentatiei tehnice de proiectare si implicit o reavizare a indicatorilor tehnico economici.  </t>
  </si>
  <si>
    <t>Estimarea cheltuielilor s-a facut tinand cont de faptul ca obiectivul de investitii se afla in procedura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t>
  </si>
  <si>
    <t>Construire Cămin Studenţesc Universitatea "Ştefan cel Mare" din Suceava, str. Staţiunii nr. 130, satul Bulai, comuna Moara, judeţul Suceava</t>
  </si>
  <si>
    <r>
      <t xml:space="preserve">Valoarea reală a proiectului este valoarea aprobată prin HG 786/2019 din care s-a scăzut valoarea studiului de fezabilitate, care a fost achitată din surse fără impact asupra bugetului, conform unui Acord încheiat în 2016 între România și Uniunea Europeană, și anume </t>
    </r>
    <r>
      <rPr>
        <b/>
        <sz val="12"/>
        <rFont val="Times New Roman"/>
        <family val="1"/>
      </rPr>
      <t>2847126</t>
    </r>
    <r>
      <rPr>
        <sz val="12"/>
        <rFont val="Times New Roman"/>
        <family val="1"/>
      </rPr>
      <t xml:space="preserve"> mii lei.</t>
    </r>
  </si>
  <si>
    <r>
      <t xml:space="preserve">Valoarea reală a proiectului este valoarea aprobată prin HG 667/2019 din care s-a scăzut valoarea studiului de fezabilitate, care a fost achitată din surse fără impact asupra bugetului, conform unui Acord încheiat în 2016 între România și Uniunea Europeană, și anume </t>
    </r>
    <r>
      <rPr>
        <b/>
        <sz val="12"/>
        <rFont val="Times New Roman"/>
        <family val="1"/>
      </rPr>
      <t>2565357</t>
    </r>
    <r>
      <rPr>
        <sz val="12"/>
        <rFont val="Times New Roman"/>
        <family val="1"/>
      </rPr>
      <t xml:space="preserve"> mii lei.</t>
    </r>
  </si>
  <si>
    <r>
      <t xml:space="preserve">Valoarea reală a proiectului este valoarea aprobată prin HG 290/2019 din care s-a scăzut valoarea studiului de fezabilitate, care a fost achitată din surse fără impact asupra bugetului, conform unui Acord încheiat în 2016 între România și Uniunea Europeană, și anume  </t>
    </r>
    <r>
      <rPr>
        <b/>
        <sz val="12"/>
        <rFont val="Times New Roman"/>
        <family val="1"/>
      </rPr>
      <t>2379575</t>
    </r>
    <r>
      <rPr>
        <sz val="12"/>
        <rFont val="Times New Roman"/>
        <family val="1"/>
      </rPr>
      <t xml:space="preserve"> mii lei.</t>
    </r>
  </si>
  <si>
    <r>
      <t xml:space="preserve">1.Referitor la col.8: Valoarea proiectulului a fost actualizata în anul 2013 și este de </t>
    </r>
    <r>
      <rPr>
        <b/>
        <sz val="12"/>
        <rFont val="Times New Roman"/>
        <family val="1"/>
      </rPr>
      <t>340.508 mii lei</t>
    </r>
    <r>
      <rPr>
        <sz val="12"/>
        <rFont val="Times New Roman"/>
        <family val="1"/>
      </rPr>
      <t>. (Este o eroare materiala la nivel MF in PIP Anexa nr.3/24/29,col.2. MTI a fost sesizat incă din anul 2021 despre acest aspect, valoarea va fi revizuita la rectificare)
2. Referitor la col.10, precizăm ca în anul 2021 SDE Muntenia Nord a restituit suma de 1.989 mii lei cu OP nr.926/19.03.2021, astfel cheltuielile efectuate până la 31 dec.2021 au valoarea de 269.079 mii lei.</t>
    </r>
  </si>
  <si>
    <t>Estimarea cheltuielilor s-a facut tinand cont de faptul ca obiectivul de investitii se afla in etapa de pregatire a procedurii de achizitie a contractului de proiectare si executie. Astfel, in estimarea cheltuielilor si a termenului de finalizare au fost luate in calcul termenele legale privind finalizarea procedurii de achizitie publica, fara eventuale contestatii al caror termen nu poate fi cuantificat in aceasta etapa.</t>
  </si>
  <si>
    <t>Cheltuielile efectuate pana la 31.12.2021 se refera la platile catre proiectant si verificatorii de proiecte</t>
  </si>
  <si>
    <t>Valoarea proiectului aprobată prin HG 621/31.08.2016 nu a fost depășită dar sunt depășite costurile față de valoarea inițial aprobată.</t>
  </si>
  <si>
    <t>Este necesara actualizarea documentatiei care va decide stoparea sau continuarea obiectivului de investiii. Bugetarea se va face ulterior aprobarii, dupa caz. Valoarea proiectului aprobată prin HG 67/2014 nu a fost depășită dar sunt depășite costurile față de valoarea inițial aprobată.</t>
  </si>
  <si>
    <t>Lucrare finalizata. PVRTL nr. 17514/30.12.2015
In derulare asistenta juridica pentru expropriere terenuri, din suma ramasa de finantat se vor finaliza exproprierile. Stadiul fizic al lucrarilor este de 100%.</t>
  </si>
  <si>
    <t>Este necesara actualizarea documentatiei  si obtinerea actului de reglementare mediu</t>
  </si>
  <si>
    <t xml:space="preserve">SF-ul a fost revizuit (a fost eliminata componenta aval) ca urmare a observatiilor AM POIM, JASPERS, CE, avizat in Consiliului Interministerial de Avizare Lucrări Publice de Interes Național și Locuințe prin avizul nr. 33/29.09.2021. Proiectul nu are contract de executie. Se afla in evaluare la AM POIM pentru semnarea contractului de finantare. </t>
  </si>
  <si>
    <t>In anul 2022 este alocata din venituri proprii ANAR suma de  59 mii lei. In prezent aceasta sumă nu figureaza în PIP. Se va solicita MF actualizarea PIP.</t>
  </si>
  <si>
    <t xml:space="preserve">Proiectul nu are contract de executie. Se afla in evaluare la AM POIM pentru semnarea contractului de finantare. </t>
  </si>
  <si>
    <t>Din punct de vedere fizic proiectul s-a finalizat în anul 2021, fiind în perioada de garanție; 
Suma de la valoarea actualizată a proiectului este suma din contractul de finanțare semnat între CN APM SA Constanța DGOIT (POIM 2014 - 2020)</t>
  </si>
  <si>
    <t>Obiectivul de investitii beneficiază si de cofinantare din surse proprii CN APM SA Constanta. Bugetul alocat în 2022 din surse proprii APMC este de de 3.784 mii lei.</t>
  </si>
  <si>
    <t xml:space="preserve"> Stadiul de implementare:  - În prezent se derulează procedura de obținere a Acordului de mediu. Agenția de Protecția Mediului Călărași, la care s-a depus documentația, a solicitat obținerea Avizului de gospodărire a apelor. Pentru obținerea acestui aviz, a fost necesară elaborarea Studiului de Evaluare a Impactului asupra Corpului de Apă (SEICA). Consultantul EGIS EAU împreună cu expertul de mediu din cadrul UIP au elaborat Studiul SEICA, care a fost deja depus la Administrația Bazinală de Apă Buzău - Ialomița. 
-  Administrația Bazinală de Apă Buzău - Ialomița a solicitat ulterior încheirea unui protocol privind utilizarea terenurilor din domeniul public al apelor administrat de Administraţia Naţională "Apele Române", cf. art. 25, alin 5 din Legea apelor nr. 107/1996. Pentru încheierea protocolului, ABA Buzau - Ialomita a solicitat un studiu hidrologic de determinare a albiei minore in zona proiectului care a fost realizat Institutul Național de Hidrologie și Gospodărire a Apelor – INHGA. Protocolul a fost încheiat în data de 08.09.2021. 
 - De asemenea, APM Călărași a solicitat refacerea Raportului de impact asupra mediului (RIM) și a studiului de evaluare adecvata cu obiectivele de conservare a ariilor naturale protejate care se afla in zona proiectului si care au fost stabilite de curand de Agentia Nationala pentru Arii Naturale Protejate. La aceasta dată EGIS lucreaza la refacerea acestor studii. </t>
  </si>
  <si>
    <t>Contractul INEA/CEF/TRAN/M2015/1130543 din 01.08.2016 a încetat în data de 26.02.2021. Prin scrisoarea nr. ARES (2021)1744016 din 10.03.2021 transmisă de către INEA, partenerii consorțiului, inclusiv APDM, au fost anunțați de încetarea Contractuluide finanțare din CEF în conformitate cu prevederile Art. II.16.1. Prin adresa MTI-DGOIT nr. 5702/10.02.2021 s-a precizat posibilitatea finantarii din cadrul POIM 2014-2020, cu conditia respectarii prin cererea de finantare a limitelor stabilite prin Decizia CE C(2019)5615 și cu indicarea expresă a necesității de revizuire a devizului general și a supunerii spre analiză a ajutorului de stat, Consiliului Concurenței și Comisiei Europene. Devizul general revizuit a fost aprobat de catre CTE - APDM și de către CTE -MTI. 
Prenotificarea privind Ajutorul de Stat aferent revizuirii documentatiei tehnico-economica se afla in etapa de evaluare de catre structura de specialitate din cadrul DG COMP.</t>
  </si>
  <si>
    <t>Valoarea actualizată este conform F23 din luna mai 2022</t>
  </si>
  <si>
    <t>Suma înscrisă la valoarea actualizată a proiectului este conform F 23 din PIP 2022</t>
  </si>
  <si>
    <t>Pentru lotul 1 a fost relizata receptie la terminarea lucrarilor in data de 21.12.2021, in anexa fiind prevazute o serie de lucrari, astfel stadiul fizic raportat nu este 100%. Finalizarea acestor lucrari este prevazuta pentru iunie 2021.
NU este necesara revizuirea indicatorilor tehnico-economici.
Stadiul fizic pentru nodul rutier Dumbrava este 0%</t>
  </si>
  <si>
    <t>LOT 5 decembrie 2021
LOT 7 - septembrie 2022</t>
  </si>
  <si>
    <t>Loturile 1-4 au fost reziliate si nu vor mai fi implementate in cadrul proiectului.
Astfel, termenul de finalizare al proiectului este cel inscris la lot 7 - septembrie 2022</t>
  </si>
  <si>
    <t>Lot 1: RTL 01.09.2021
Lot 2: RTL 19.12.2019
Lot 3: RF 15.12.2021
Lot 4: RTL 07.09.2020</t>
  </si>
  <si>
    <t>Finalizat 2013</t>
  </si>
  <si>
    <t>Proiectul a fost derulat in conformitate cu Legea nr.500/2002,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	Legea nr.527/09.10.2001 pentru ratificarea Contractului de Finantare dintre Romania si Banca Europeană de Investiţii şi Administraţia Naţională a Drumurilor pentru finantarea proiectului de reabilitare a drumurilor Etapa IV
- Cod fisa 416: Reabilitare DN 17, Limita judetului Bistrita Nasaud/ Suceava - Suceava, km 116+000 - km 255+000
Desi lucrarile au fost in totalitate finalizate, in cadrul proiectului mai este necesar a se efectua plati pentru sentinte civile</t>
  </si>
  <si>
    <t>Avand in vedere ca la momentul prezentei, pentru sectiunile Ploiesti-Comarnic si Comarnic -Brasov nu au fost inca initiata procedura de licitatie, nu se poate estima un termen de finalizare</t>
  </si>
  <si>
    <t>PVRTL 10.08.2021</t>
  </si>
  <si>
    <t>Lot 1: 2010 Finalizat
Lot 2: 2010 Finalizat</t>
  </si>
  <si>
    <t>Desi lucrarile au fost in totalitate finalizate, in cadrul proiectului mai este necesar a se efectua plati pentru sentinte civile de terenuri.
Valoarea actualizată a proiectului introdusa în PIP (Anexa 3/24/29) difera de cea din Anexa 3 din cauza diferentelor minore datorate cursului valutar utilizat. Avand in vedere ca prin amendamentul 6 la Memorandumul de Finantare a fost aprobata valoarea totala de 182.009.039,09 Euro, precizam faptul ca am actualizat valoarea de proiect din cadrul Anexei 3 conform cu cea din PIP.</t>
  </si>
  <si>
    <t>Desi lucrarile au fost in totalitate finalizate, in cadrul proiectului mai este necesar a se efectua plati pentru sentinte civile de terenuri
Valoarea actualizata a proiectului  a fost calculata in baza valoarii in euro din cadrul HG aferent ITE nr. 1293/2009 (365.027.195 euro) transformata in mii lei la un curs valutar estimat de 4,52 lei/euro, fata de cursul valutar de 4,2127 lei/euro utilizat in cadrul devizului general, anexa la HG nr. 1293/2009, luandu-se in considerare deprecierea cursului valutar.</t>
  </si>
  <si>
    <t>Lot 1: Recptie finala 2018
Lot 2: Receptie finala - noiembrie 2018
Lot 3: in circulatie finalizat
Lot 4: RTL 2014</t>
  </si>
  <si>
    <t>Contractul de Proiectare si Executie Orastie-Sibiu Lot 3 km 43+855-km 65+965 cu nr. 92/28516/20.05.2011 a fost reziliat prin adresa nr. 92/3908/27.01.2016. 
Nu consideram necesara reavizarea indicatorilor tehnico - economici pentru renuntarea definitiva la realizarea acestor lucrari.
Proiectul este necesar a fi mentinut in PIP deoarece in cadrul acestuia mai este necesar a se efectua plati pentru sentinte civile, sentinte arbitrale, etc.</t>
  </si>
  <si>
    <t>Receptie finala Arad-Timisoara: Finalizat decembrie 2018
Receptie finala VO Arad - Finalizat august 2017</t>
  </si>
  <si>
    <t>Desi lucrarile au fost in totalitate finalizate, in cadrul proiectului mai este necesar a se efectua plati pentru sentinte civile si lucrari de remediere</t>
  </si>
  <si>
    <t>Finalizat 2011</t>
  </si>
  <si>
    <t>Finalizat 2012</t>
  </si>
  <si>
    <t>Finalizat 2014</t>
  </si>
  <si>
    <t>Finalizat 2015</t>
  </si>
  <si>
    <t>In conformitate cu acordul de colaborare nr. 92/35792/05.05.2021, intre CNAIR SA si Primaria Municipiului Dej, proiectul urmeaza a se realiza ca parte a interconectarii aliniamentului Autostrazii Nordului, la Mun. Dej</t>
  </si>
  <si>
    <t>Sectorul 4: Drajna–Fetesti: finalizat 2007
Sectorul 5 Fetesti-Cernavoda: finalizat 2006</t>
  </si>
  <si>
    <t>Obiect I - Finalizat 2017
Obiect II, III si IV - 2026</t>
  </si>
  <si>
    <t>La data prezentei este in derulare procedura de achizitie privind revizuirea SF-ului.</t>
  </si>
  <si>
    <t>Finalizat 2018</t>
  </si>
  <si>
    <t>Desi lucrarile au fost in totalitate finalizate, in cadrul proiectului mai este necesar a se efectua plati pentru: sentinte civile, certificate finale, sentinte arbitrale etc.</t>
  </si>
  <si>
    <t>Proiectul a fost derulat in conformitate cu Legea nr.500/2002,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	Legea nr.527/09.10.2001 pentru ratificarea Contractului de Finantare dintre Romania si Banca Europeană de Investiţii şi Administraţia Naţională a Drumurilor pentru finantarea proiectului de reabilitare a drumurilor Etapa IV
- Cod fisa 416: Reabilitare DN 1C, Cluj - Dej, km 8+300 - km 61+528
Desi lucrarile au fost in totalitate finalizate, in cadrul proiectului mai este necesar a se efectua plati pentru sentinte civile</t>
  </si>
  <si>
    <t>La data prezentei pentru realizarea obiectivului este necesar a fi demarata procedura de achizitie privind realizarea unei expertize tehnice, precum si revizuirea SF-ului initial.</t>
  </si>
  <si>
    <t>Finalizat 2016</t>
  </si>
  <si>
    <t xml:space="preserve"> 
2018 este termenul la care s-a finalizat lucrarea, respectiv doua statii si depoul Straulesti </t>
  </si>
  <si>
    <t>Având în vedere termenul de finalizare aprobat prin Actul aditional nr. 6/11.01.2022 la Contractul de finantare 1/07.07.2016 ,este in curs de avizare un PHG pentru actualizarea si prorogarea termenului din HG 918/15.11.2018</t>
  </si>
  <si>
    <t>A fost încheiat Actul Adițional nr. 11 la Ordinul de finanțare nr.919/2016, prin care s-a prevăzut prelungirea termenului de finalizare pentru data de 30.06.2022</t>
  </si>
  <si>
    <t>contractul de executie lucrari este in faza de licitatie</t>
  </si>
  <si>
    <t>ME</t>
  </si>
  <si>
    <t>Ministerul Economiei</t>
  </si>
  <si>
    <t>Ministerul Cercetarii, Inovarii si Digitalizarii</t>
  </si>
  <si>
    <r>
      <t>Ministerul Transporturilor si</t>
    </r>
    <r>
      <rPr>
        <sz val="12"/>
        <color rgb="FF00000A"/>
        <rFont val="Times New Roman"/>
        <family val="1"/>
      </rPr>
      <t xml:space="preserve"> Infrastructurii</t>
    </r>
  </si>
  <si>
    <t>Ministerul Dezvoltării Lucrarilor Publice si Administratiei</t>
  </si>
  <si>
    <t xml:space="preserve">Proiectul de investiții va fi introdus în PIP la prima rectificare bugetară. </t>
  </si>
  <si>
    <t>Pod peste Tisa in zona Teplița din Sighetul Marmației</t>
  </si>
  <si>
    <r>
      <rPr>
        <sz val="12"/>
        <rFont val="Arial"/>
        <family val="2"/>
      </rPr>
      <t>Modernizarea liniei feroviare Caransebes-Timisoara-Arad</t>
    </r>
    <r>
      <rPr>
        <b/>
        <sz val="12"/>
        <rFont val="Arial"/>
        <family val="2"/>
        <charset val="238"/>
      </rPr>
      <t xml:space="preserve">
</t>
    </r>
    <r>
      <rPr>
        <i/>
        <sz val="12"/>
        <rFont val="Arial"/>
        <family val="2"/>
        <charset val="238"/>
      </rPr>
      <t>(finantat din PNRR si buget de stat prin bugetul MIPE  si din POIM 2014-2020 de la titlul 58.03-Programe din Fondul de Coeziune)</t>
    </r>
  </si>
  <si>
    <t>Valoarea aprobata in anul 2022 este aferenta HG -ului de exproprieri care va fi actualizata conform creșterii prețurilor conform grilelor notarilor publici pentru anul 2022 utilizate la evaluarea imobilelor expropriate conform legilor în vigoare, devenind 39.090 mii lei.</t>
  </si>
  <si>
    <t>Decembrie 2023</t>
  </si>
  <si>
    <r>
      <t>Magistrala 5. Drumul Taberei-Pantelimon</t>
    </r>
    <r>
      <rPr>
        <b/>
        <sz val="12"/>
        <rFont val="Times New Roman"/>
        <family val="1"/>
      </rPr>
      <t xml:space="preserve">
Se </t>
    </r>
    <r>
      <rPr>
        <sz val="12"/>
        <rFont val="Times New Roman"/>
        <family val="1"/>
      </rPr>
      <t xml:space="preserve">execută lucrări pe
</t>
    </r>
    <r>
      <rPr>
        <u/>
        <sz val="12"/>
        <rFont val="Times New Roman"/>
        <family val="1"/>
      </rPr>
      <t>Secțiunea 1: 
Râul Doamnei-Eroilor</t>
    </r>
    <r>
      <rPr>
        <sz val="12"/>
        <rFont val="Times New Roman"/>
        <family val="1"/>
      </rPr>
      <t xml:space="preserve">, inclusiv Galeria de legătură, Stația și Depoul Valea Ialomiței
10 statii + 1 depou
 PIF:septembrie 2020
</t>
    </r>
    <r>
      <rPr>
        <u/>
        <sz val="12"/>
        <rFont val="Times New Roman"/>
        <family val="1"/>
      </rPr>
      <t>Sectiunea 2: 
Eroilor-Ianculu</t>
    </r>
    <r>
      <rPr>
        <sz val="12"/>
        <rFont val="Times New Roman"/>
        <family val="1"/>
      </rPr>
      <t xml:space="preserve">i -În derulare Contractul nr. 89/2021 servicii de proiectare si asistenta tehnica. Pentru anul 2022 trebuiesc predate un numar de 8 Livrabile,până la data prezentei au fost predate un numar de 6 Livrabile cu respectarea graficului anexa la contract.
 </t>
    </r>
    <r>
      <rPr>
        <u/>
        <sz val="12"/>
        <rFont val="Times New Roman"/>
        <family val="1"/>
      </rPr>
      <t>Secțiunea 3: 
Iancului - Pantelimon:</t>
    </r>
    <r>
      <rPr>
        <sz val="12"/>
        <rFont val="Times New Roman"/>
        <family val="1"/>
      </rPr>
      <t xml:space="preserve"> în pregătire</t>
    </r>
  </si>
  <si>
    <t>La proxima recitificare bugetara, CNAIR va intreprinde demersurile in vederea actualizarii anexei nr. 3/24/29 nr. 1286, prin mutarea valorilor aferente acestui obiectiv din anexa nr. 415, acolo unde se regasesc introduse la data prezentei</t>
  </si>
  <si>
    <t>Estimat trim III 2022</t>
  </si>
  <si>
    <t>Trim II 2023</t>
  </si>
  <si>
    <t>A1-DN7: octombrie 2022
DN2-A2: decembrie 2023</t>
  </si>
  <si>
    <t>Tg. Mures - Ogra Lot 1: 2021
Tg. Mures - Ogra Lot 2: finalizat decembrie 2018
Ogra - Campia Turzii Lot 1: finalizat decembrie 2018
Ogra - Campia Turzii Lot 2: Finalizat 2020
Ogra - Campia Turzii Lot 3:Contract reziliat in mai 2021
Campia Turzii - Gilau:  Finalizat 2010 
Pod Somes: Finalizat 2018
Gilau - Nadaselu:2017
Nadaselu-Mihaesti:2023
Mihaesti- Suplacu de Barcau: 2023
Biharia - Bors: 30.07.2020 (PVRTL 543/30.07.2020)</t>
  </si>
  <si>
    <t>Bucuresti - Ploiesti : 2018, RTL 2019
Ploiesti - Comarnic: -
Comarnic - Brasov: -
(Predeal - Cristian, lot 2: RTL dec 2020)
Parcari Bucuresti  - Ploiesti: cdecembrie 2022</t>
  </si>
  <si>
    <t>trim II 2022</t>
  </si>
  <si>
    <r>
      <rPr>
        <b/>
        <sz val="10"/>
        <rFont val="Arial"/>
        <family val="2"/>
      </rPr>
      <t>Lot 1</t>
    </r>
    <r>
      <rPr>
        <sz val="10"/>
        <rFont val="Arial"/>
        <family val="2"/>
      </rPr>
      <t xml:space="preserve">: SF: 99,20%
Deschidere trafic respectiv 14,8 km Autostrada, bretele 5,6 – Nod rutier Sebes, bretele 1,3 – Nod rutier Alba Iulia Nord si Nod Rutier Alba Iulia Sud - 03.12.2020;
Deschidere integrala bretele 1 si 2 Nod rutier Sebes - 15.07.2021;
Deschidere integrala a Nodului rutier Sebes, respectiv bretele 3 si 4 - 30.07.2021;
Deschidere integrala a autotrazii, respectiv km 15+500 - km 17+000, inclusiv Nod rutier Alba Iulia Nord - 30.11.2021
</t>
    </r>
    <r>
      <rPr>
        <b/>
        <sz val="10"/>
        <rFont val="Arial"/>
        <family val="2"/>
      </rPr>
      <t>Lot 2</t>
    </r>
    <r>
      <rPr>
        <sz val="10"/>
        <rFont val="Arial"/>
        <family val="2"/>
      </rPr>
      <t xml:space="preserve">: SF: 93,24%
Traficul deschis pe data de 30.11.2021. 
</t>
    </r>
    <r>
      <rPr>
        <b/>
        <sz val="10"/>
        <rFont val="Arial"/>
        <family val="2"/>
      </rPr>
      <t>Lot 3</t>
    </r>
    <r>
      <rPr>
        <sz val="10"/>
        <rFont val="Arial"/>
        <family val="2"/>
      </rPr>
      <t xml:space="preserve">: Receptie la Terminarea Lucrarilor - iulie 2018
</t>
    </r>
    <r>
      <rPr>
        <b/>
        <sz val="10"/>
        <rFont val="Arial"/>
        <family val="2"/>
      </rPr>
      <t>Lot 4:</t>
    </r>
    <r>
      <rPr>
        <sz val="10"/>
        <rFont val="Arial"/>
        <family val="2"/>
      </rPr>
      <t xml:space="preserve"> Receptie la Terminarea Lucrarilor - iulie 2018
Nod rutier Dumbrava - 2022</t>
    </r>
  </si>
  <si>
    <t>Lot 1: RTL - 2015
Lot 2: RTL - 2015</t>
  </si>
  <si>
    <t>Lot I : Finalizat.2019
Lot II: iunie.2021</t>
  </si>
  <si>
    <t>trim IV 2022</t>
  </si>
  <si>
    <t>Proiect finalizat, restul de executat reprezinta diferenta intre HG-ITE si realizari
Desi lucrarile au fost in totalitate finalizate, in cadrul proiectului mai este necesar a se efectua plati pentru: sentinte civile, certificate finale, asistenta juridica, audit de siguranta rutiera, sentinte arbitrale etc.</t>
  </si>
  <si>
    <t>Trim II 2022</t>
  </si>
  <si>
    <t>2018</t>
  </si>
  <si>
    <t>Desi lucrarile au fost in totalitate finalizate, in cadrul proiectului mai este necesar a se efectua plati pentru: sentinte civile aferente terenurilor, lucrari executate, hotrari arbitrale.
-	Valoarea totala de proiect in cuantum de 1.721.099 mii lei, introdusa în PIP (Anexa 3/24/29), cuprinde atat sumele aferente proiectului Constructia Variantei de Ocolire a Municiupiului Constanta la standard de autostrada, cat si componenta aferenta podurilor dobrogene si calamitati. 
In Anexa 3 la coloana 8 „Valoare actualizata a proiectului”, valoarea cumulata din fisa de investitii pentru proiectul cod 413 se va calcula insumand valoarea proiectului inscris la pozitia 8 (1.132.285 mii lei), cu valoarea proiectului inscris la pozitia 44 (730.162 mii lei), rezultand o valoare total de 1.862.447 mii lei. 
Astfel se observa faptul ca valoarea din Anexa 3 este mai mare decat cea inscrisa în PIP (Anexa 3/24/29). 
Totodata, precizam ca a fost actualizata coloana 10 „Cheltuieli efectuate pana la 31 decembrie 2021”.</t>
  </si>
  <si>
    <t>A  fost modificata valoarea actualizata de proiect (coloana 8) in conformitate cu Ordinul MTI nr.1070/2020 (anexat). Termenul de finalizare este conform contractului de lucrari, insa la data prezentei pentru acesta nu a fost emisa Autorizatia de Constructie</t>
  </si>
  <si>
    <t>Desi lucrarile au fost in totalitate finalizate, in cadrul proiectului mai este necesar a se efectua plati pentru sentinte civile de terenuri</t>
  </si>
  <si>
    <t>Anexa 2 la memorandum</t>
  </si>
  <si>
    <t>CNCF CFR SA</t>
  </si>
  <si>
    <t xml:space="preserve">*) Proiectul cod fisa 424 - Linie nouă de cale ferată Vâlcele-Râmnicu Vâlcea, propunem eliminarea din Master Planul General de Transport al României (MPGT), deoarece:
- NU mai respectă rolul și funcțiile sale principale și NU mai reprezintă ca prioritate în cadrul strategiilor (naționale, sectoriale, regionale, etc.) în domeniul transporturilor. 
- Finanțarea va afecta alocările bugetare pentru alte proiecte cuprinse în programul de investiții
- Studiul de fezabilitate care a stat la baza aprobării obiectivului/proiectului de investiții publice și a indicatorilor tehnico-economici ai acestuia NU mai este de actualitate, așa cum a fost comunicat catre MTI prin adresa nr. 9/5/821/17.12.2021 și confirmat in cadrul Planului Investitional pentru dezvoltarea infrastructurii de transport pentru perioada 2020-2030 (pag. 113) aprobat prin HG nr. 1312/30.12.2021 privind modificarea Hotărârii Guvernului nr. 666/2016 pentru aprobarea documentului strategic Master Planul General de Transport al României. Valoarea estimată a studiului este de 5 mil. euro fără TVA
</t>
  </si>
  <si>
    <t>DTN</t>
  </si>
  <si>
    <t xml:space="preserve">Conform HG nr. 80/2020 finanţarea obiectivului de investiţii  se realizează în limita sumelor aprobate anual cu această destinaţie, conform programelor de investiţii publice aprobate potrivit legii, astfel:  </t>
  </si>
  <si>
    <t xml:space="preserve"> a) din fonduri externe nerambursabile prin Mecanismul pentru interconectarea Europei (CEF TRANSPORT) şi în completare de la bugetul de stat prin bugetul Ministerului Fondurilor Europene, conform prevederilor art. 6 alin. (6) din Ordonanţa de urgenţă a Guvernului nr. 40/2015 privind gestionarea financiară a fondurilor europene pentru perioada de programare 2014-2020, aprobată cu modificări şi completări prin Legea nr. 105/2016;</t>
  </si>
  <si>
    <t xml:space="preserve">b) din Programul operaţional Infrastructura mare (POIM 2014-2020) prin bugetul Ministerului Transporturilor, Infrastructurii şi Comunicaţiilor, conform art. 6 alin. (2) din Ordonanţa de urgenţă a Guvernului nr. 40/2015, aprobată cu modificări şi completări prin Legea nr. 105/2016;  </t>
  </si>
  <si>
    <t xml:space="preserve">c) din fonduri private.  </t>
  </si>
  <si>
    <t>În prezenta raportare, la buget 2022 - 2025 se raportează sumele prevăzute prin bugetul MTI, titlul 58 POIM, pentru partenerul public CN APDM SA Galați</t>
  </si>
  <si>
    <t>NOTA</t>
  </si>
  <si>
    <t>1. La obiectivele CDMN si CPAMN procentul de realizare stadiu fizic s-a calculat conform datelor din HG nr. 1179/2002, legislația în vigoare la data avizării valorii actualizate a investiției,  și se referă la întregul proiect în ansamblu, respectiv Canalul Dunăre - Marea Neagră și Canalul Poarta Albă - Midia Năvodari</t>
  </si>
  <si>
    <t xml:space="preserve">2. La obiectivul de investiții Platformă Mulimodala Galați: </t>
  </si>
  <si>
    <t>Reabilitarea a 10 poduri importante/ strategice in zona Dobrogea- Reabilitarea Podului de la Borcea, A2, km 149+680</t>
  </si>
  <si>
    <t>Reabilitarea liniei CF frontieră Curtici - Simeria parte componenta a Coridorului IV Pan-European pentru circulaţia trenurilor cu viteză maximă de 160 km/h, Tronsonul 2 :km 614-Gurasada şi Tronsonul 3: Gurasada-Simeria</t>
  </si>
  <si>
    <t>Legatura retelei de metrou cu Aeroportul 
International Henri Coanda - Otopeni
(Magistrala 6. 1 Mai -Otopeni)</t>
  </si>
  <si>
    <t xml:space="preserve">„Drum TransRegio (TR ISTER) Braila - Slobozia - Calarasi - Chiciu, Etapa 1- Pasaj denivelat pe DN21, km 105+500 </t>
  </si>
  <si>
    <r>
      <rPr>
        <sz val="10"/>
        <rFont val="Arial"/>
        <family val="2"/>
      </rPr>
      <t>Lot 1: Receptionat final in noiembrie 2018
Lot 2:
1. Receptie la Terminarea Lucrarilor  Sectiunile A, B, C si Nod Rutier Margina (km 27+620 - km 43+060) - 03.03.2017;
2. Proiectare si executie lucrari pentru obiectivul major de investitii Autostrada Lugoj - Deva (A1)
 Lot 2 km 27+620 - km 56+220 Sectiunea E si finalizare Sectiunea D- estimat decembrie 2025;
Lot 3: Reziliat la data de 27.08.2019;
deschidere trafic 23.12.2019
Lot 4: Receptie la terminarea lucrarilor 12.08.2019</t>
    </r>
  </si>
  <si>
    <t xml:space="preserve">Modernizarea instalatiilor pe Magistralele 1, 2, 3, si Tronsonul de Legatura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</si>
</sst>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l_e_i_-;\-* #,##0.00\ _l_e_i_-;_-* &quot;-&quot;??\ _l_e_i_-;_-@_-"/>
    <numFmt numFmtId="165" formatCode="* #,##0.00&quot;      &quot;;\-* #,##0.00&quot;      &quot;;* \-#&quot;      &quot;;@\ "/>
    <numFmt numFmtId="166" formatCode="#"/>
  </numFmts>
  <fonts count="39">
    <font>
      <sz val="10"/>
      <name val="Arial"/>
      <family val="2"/>
      <charset val="238"/>
    </font>
    <font>
      <sz val="11"/>
      <color indexed="8"/>
      <name val="Calibri"/>
      <family val="2"/>
      <charset val="238"/>
    </font>
    <font>
      <sz val="10"/>
      <name val="Arial"/>
      <family val="2"/>
      <charset val="238"/>
    </font>
    <font>
      <sz val="12"/>
      <name val="Times New Roman"/>
      <family val="1"/>
    </font>
    <font>
      <sz val="10"/>
      <name val="Arial"/>
      <family val="2"/>
    </font>
    <font>
      <b/>
      <sz val="9"/>
      <color indexed="81"/>
      <name val="Tahoma"/>
      <family val="2"/>
    </font>
    <font>
      <sz val="9"/>
      <color indexed="81"/>
      <name val="Tahoma"/>
      <family val="2"/>
    </font>
    <font>
      <b/>
      <sz val="12"/>
      <name val="Times New Roman"/>
      <family val="1"/>
    </font>
    <font>
      <sz val="12"/>
      <color indexed="8"/>
      <name val="Times New Roman"/>
      <family val="1"/>
    </font>
    <font>
      <sz val="11"/>
      <color rgb="FF000000"/>
      <name val="Calibri"/>
      <family val="2"/>
      <charset val="238"/>
    </font>
    <font>
      <sz val="11"/>
      <color theme="1"/>
      <name val="Arial"/>
      <family val="2"/>
      <charset val="238"/>
    </font>
    <font>
      <sz val="10"/>
      <color rgb="FF000000"/>
      <name val="Arial1"/>
      <charset val="1"/>
    </font>
    <font>
      <b/>
      <sz val="10"/>
      <name val="Times New Roman"/>
      <family val="1"/>
    </font>
    <font>
      <sz val="10"/>
      <name val="Times New Roman"/>
      <family val="1"/>
    </font>
    <font>
      <sz val="10"/>
      <color rgb="FFFF0000"/>
      <name val="Times New Roman"/>
      <family val="1"/>
    </font>
    <font>
      <sz val="12"/>
      <name val="Times New Roman"/>
      <family val="1"/>
      <charset val="238"/>
    </font>
    <font>
      <sz val="12"/>
      <color indexed="81"/>
      <name val="Tahoma"/>
      <family val="2"/>
    </font>
    <font>
      <sz val="11"/>
      <color indexed="63"/>
      <name val="Arial"/>
      <family val="2"/>
      <charset val="238"/>
    </font>
    <font>
      <b/>
      <sz val="12"/>
      <name val="Times New Roman"/>
      <family val="1"/>
      <charset val="238"/>
    </font>
    <font>
      <sz val="12"/>
      <color indexed="8"/>
      <name val="Times New Roman"/>
      <family val="1"/>
      <charset val="238"/>
    </font>
    <font>
      <i/>
      <sz val="12"/>
      <name val="Times New Roman"/>
      <family val="1"/>
      <charset val="238"/>
    </font>
    <font>
      <sz val="12"/>
      <color theme="1"/>
      <name val="Times New Roman"/>
      <family val="1"/>
      <charset val="238"/>
    </font>
    <font>
      <sz val="11"/>
      <name val="Times New Roman"/>
      <family val="1"/>
      <charset val="238"/>
    </font>
    <font>
      <sz val="12"/>
      <color rgb="FF00000A"/>
      <name val="Times New Roman"/>
      <family val="1"/>
    </font>
    <font>
      <b/>
      <sz val="15"/>
      <name val="Times New Roman"/>
      <family val="1"/>
      <charset val="238"/>
    </font>
    <font>
      <sz val="11"/>
      <color theme="1"/>
      <name val="Calibri"/>
      <family val="2"/>
      <charset val="238"/>
      <scheme val="minor"/>
    </font>
    <font>
      <sz val="11"/>
      <name val="Calibri"/>
      <family val="2"/>
      <charset val="238"/>
      <scheme val="minor"/>
    </font>
    <font>
      <sz val="12"/>
      <color rgb="FFFF0000"/>
      <name val="Times New Roman"/>
      <family val="1"/>
    </font>
    <font>
      <sz val="12"/>
      <color rgb="FF000000"/>
      <name val="Times New Roman"/>
      <family val="1"/>
    </font>
    <font>
      <sz val="12"/>
      <name val="Arial"/>
      <family val="2"/>
      <charset val="238"/>
    </font>
    <font>
      <b/>
      <sz val="12"/>
      <name val="Arial"/>
      <family val="2"/>
      <charset val="238"/>
    </font>
    <font>
      <i/>
      <sz val="12"/>
      <name val="Arial"/>
      <family val="2"/>
      <charset val="238"/>
    </font>
    <font>
      <u/>
      <sz val="12"/>
      <name val="Times New Roman"/>
      <family val="1"/>
    </font>
    <font>
      <sz val="12"/>
      <name val="Arial"/>
      <family val="2"/>
    </font>
    <font>
      <b/>
      <sz val="10"/>
      <name val="Arial"/>
      <family val="2"/>
    </font>
    <font>
      <sz val="10"/>
      <name val="Times New Roman"/>
      <family val="1"/>
      <charset val="238"/>
    </font>
    <font>
      <sz val="10"/>
      <name val="Trebuchet MS"/>
      <family val="2"/>
    </font>
    <font>
      <u/>
      <sz val="10"/>
      <name val="Arial"/>
      <family val="2"/>
      <charset val="238"/>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10" fillId="0" borderId="0"/>
    <xf numFmtId="0" fontId="2" fillId="0" borderId="0"/>
    <xf numFmtId="0" fontId="4" fillId="0" borderId="0"/>
    <xf numFmtId="9" fontId="1" fillId="0" borderId="0" applyBorder="0" applyProtection="0"/>
    <xf numFmtId="0" fontId="11" fillId="0" borderId="0" applyBorder="0" applyProtection="0"/>
    <xf numFmtId="165" fontId="1" fillId="0" borderId="0" applyBorder="0" applyProtection="0"/>
    <xf numFmtId="0" fontId="2" fillId="0" borderId="0"/>
    <xf numFmtId="0" fontId="2" fillId="0" borderId="0"/>
    <xf numFmtId="0" fontId="2" fillId="0" borderId="0"/>
    <xf numFmtId="0" fontId="17"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11" fillId="0" borderId="0" applyBorder="0" applyProtection="0"/>
  </cellStyleXfs>
  <cellXfs count="425">
    <xf numFmtId="0" fontId="0" fillId="0" borderId="0" xfId="0"/>
    <xf numFmtId="0" fontId="4" fillId="0" borderId="0" xfId="0" applyFont="1"/>
    <xf numFmtId="0" fontId="3" fillId="2" borderId="0" xfId="0" applyFont="1" applyFill="1"/>
    <xf numFmtId="0" fontId="13" fillId="2" borderId="0" xfId="0" applyFont="1" applyFill="1"/>
    <xf numFmtId="3" fontId="13" fillId="2" borderId="0" xfId="0" applyNumberFormat="1" applyFont="1" applyFill="1"/>
    <xf numFmtId="4" fontId="13" fillId="2" borderId="1" xfId="0" applyNumberFormat="1" applyFont="1" applyFill="1" applyBorder="1"/>
    <xf numFmtId="4" fontId="12" fillId="2" borderId="1" xfId="0" applyNumberFormat="1" applyFont="1" applyFill="1" applyBorder="1"/>
    <xf numFmtId="4" fontId="12" fillId="2" borderId="0" xfId="0" applyNumberFormat="1" applyFont="1" applyFill="1"/>
    <xf numFmtId="4" fontId="12" fillId="2" borderId="1" xfId="0" applyNumberFormat="1" applyFont="1" applyFill="1" applyBorder="1" applyAlignment="1">
      <alignment horizontal="center"/>
    </xf>
    <xf numFmtId="4" fontId="13" fillId="2" borderId="0" xfId="0" applyNumberFormat="1" applyFont="1" applyFill="1"/>
    <xf numFmtId="3" fontId="13" fillId="2" borderId="0" xfId="0" applyNumberFormat="1" applyFont="1" applyFill="1" applyBorder="1"/>
    <xf numFmtId="4" fontId="13" fillId="2" borderId="0" xfId="0" applyNumberFormat="1" applyFont="1" applyFill="1" applyBorder="1"/>
    <xf numFmtId="0" fontId="7" fillId="2" borderId="0" xfId="0" applyFont="1" applyFill="1" applyAlignment="1">
      <alignment horizontal="center" vertical="center" wrapText="1"/>
    </xf>
    <xf numFmtId="0" fontId="7" fillId="2" borderId="0" xfId="0" applyFont="1" applyFill="1"/>
    <xf numFmtId="0" fontId="7" fillId="2" borderId="0" xfId="0" applyFont="1" applyFill="1" applyAlignment="1">
      <alignment horizontal="center"/>
    </xf>
    <xf numFmtId="0" fontId="3" fillId="2" borderId="1" xfId="0" applyFont="1" applyFill="1" applyBorder="1"/>
    <xf numFmtId="0" fontId="7" fillId="2" borderId="1" xfId="0" applyFont="1" applyFill="1" applyBorder="1"/>
    <xf numFmtId="4" fontId="13" fillId="2" borderId="1" xfId="0" applyNumberFormat="1" applyFont="1" applyFill="1" applyBorder="1" applyAlignment="1">
      <alignment wrapText="1"/>
    </xf>
    <xf numFmtId="0" fontId="12" fillId="2" borderId="1" xfId="0" applyFont="1" applyFill="1" applyBorder="1"/>
    <xf numFmtId="0" fontId="3" fillId="2" borderId="0" xfId="0" applyFont="1" applyFill="1" applyAlignment="1">
      <alignment horizontal="left" vertical="center" wrapText="1"/>
    </xf>
    <xf numFmtId="49" fontId="13" fillId="2" borderId="0" xfId="0" applyNumberFormat="1" applyFont="1" applyFill="1" applyAlignment="1">
      <alignment wrapText="1"/>
    </xf>
    <xf numFmtId="49" fontId="13" fillId="2" borderId="0" xfId="0" applyNumberFormat="1" applyFont="1" applyFill="1" applyBorder="1" applyAlignment="1">
      <alignment wrapText="1"/>
    </xf>
    <xf numFmtId="3" fontId="13" fillId="2" borderId="0" xfId="0" applyNumberFormat="1" applyFont="1" applyFill="1" applyBorder="1" applyAlignment="1">
      <alignment wrapText="1"/>
    </xf>
    <xf numFmtId="4" fontId="13" fillId="2" borderId="0" xfId="0" applyNumberFormat="1" applyFont="1" applyFill="1" applyBorder="1" applyAlignment="1">
      <alignment wrapText="1"/>
    </xf>
    <xf numFmtId="0" fontId="12" fillId="2" borderId="1" xfId="0" applyFont="1" applyFill="1" applyBorder="1" applyAlignment="1">
      <alignment horizontal="center"/>
    </xf>
    <xf numFmtId="0" fontId="13" fillId="2" borderId="1" xfId="0" applyFont="1" applyFill="1" applyBorder="1"/>
    <xf numFmtId="4" fontId="13" fillId="2" borderId="1" xfId="0" applyNumberFormat="1" applyFont="1" applyFill="1" applyBorder="1" applyAlignment="1">
      <alignment horizontal="center"/>
    </xf>
    <xf numFmtId="2" fontId="13" fillId="2" borderId="0" xfId="0" applyNumberFormat="1" applyFont="1" applyFill="1"/>
    <xf numFmtId="0" fontId="14" fillId="2" borderId="0" xfId="0" applyFont="1" applyFill="1"/>
    <xf numFmtId="49" fontId="3" fillId="2" borderId="0" xfId="0" applyNumberFormat="1" applyFont="1" applyFill="1" applyAlignment="1">
      <alignment horizontal="left" vertical="center" wrapText="1"/>
    </xf>
    <xf numFmtId="166" fontId="15" fillId="2" borderId="1" xfId="0" applyNumberFormat="1" applyFont="1" applyFill="1" applyBorder="1" applyAlignment="1">
      <alignment horizontal="center" vertical="center" wrapText="1"/>
    </xf>
    <xf numFmtId="0" fontId="15" fillId="2" borderId="0" xfId="0" applyFont="1" applyFill="1" applyAlignment="1">
      <alignment horizontal="center" vertical="center"/>
    </xf>
    <xf numFmtId="0" fontId="15" fillId="2" borderId="1" xfId="0" applyFont="1" applyFill="1" applyBorder="1" applyAlignment="1">
      <alignment horizontal="center" vertical="center" wrapText="1"/>
    </xf>
    <xf numFmtId="0" fontId="15" fillId="2" borderId="0" xfId="0" applyFont="1" applyFill="1"/>
    <xf numFmtId="0" fontId="15" fillId="2" borderId="0" xfId="0" applyFont="1" applyFill="1" applyAlignment="1">
      <alignment horizontal="center"/>
    </xf>
    <xf numFmtId="1" fontId="15" fillId="2" borderId="0" xfId="0" applyNumberFormat="1" applyFont="1" applyFill="1" applyAlignment="1">
      <alignment horizontal="center"/>
    </xf>
    <xf numFmtId="49" fontId="15" fillId="2" borderId="0" xfId="0" applyNumberFormat="1" applyFont="1" applyFill="1" applyAlignment="1">
      <alignment wrapText="1"/>
    </xf>
    <xf numFmtId="0" fontId="18" fillId="2" borderId="0" xfId="0" applyFont="1" applyFill="1" applyBorder="1" applyAlignment="1">
      <alignment horizontal="left"/>
    </xf>
    <xf numFmtId="3" fontId="18" fillId="2" borderId="3" xfId="0" applyNumberFormat="1" applyFont="1" applyFill="1" applyBorder="1" applyAlignment="1">
      <alignment horizontal="center" vertical="center" wrapText="1"/>
    </xf>
    <xf numFmtId="0" fontId="18" fillId="2" borderId="7" xfId="0"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1" fontId="18" fillId="2" borderId="1" xfId="0" applyNumberFormat="1" applyFont="1" applyFill="1" applyBorder="1" applyAlignment="1">
      <alignment horizontal="center" vertical="center"/>
    </xf>
    <xf numFmtId="49" fontId="15" fillId="2" borderId="1" xfId="0" applyNumberFormat="1" applyFont="1" applyFill="1" applyBorder="1" applyAlignment="1">
      <alignment horizontal="left" vertical="center" wrapText="1"/>
    </xf>
    <xf numFmtId="0" fontId="18" fillId="2" borderId="0" xfId="0" applyFont="1" applyFill="1" applyAlignment="1">
      <alignment horizontal="center" vertical="center"/>
    </xf>
    <xf numFmtId="4" fontId="18" fillId="2" borderId="0" xfId="0" applyNumberFormat="1" applyFont="1" applyFill="1" applyAlignment="1">
      <alignment horizontal="center" vertical="center"/>
    </xf>
    <xf numFmtId="49" fontId="15" fillId="2" borderId="0" xfId="0" applyNumberFormat="1" applyFont="1" applyFill="1" applyAlignment="1">
      <alignment horizontal="center" vertical="center" wrapText="1"/>
    </xf>
    <xf numFmtId="4" fontId="15" fillId="2" borderId="0" xfId="0" applyNumberFormat="1" applyFont="1" applyFill="1" applyBorder="1" applyAlignment="1">
      <alignment horizontal="center" vertical="center"/>
    </xf>
    <xf numFmtId="0" fontId="15" fillId="2" borderId="0" xfId="0" applyFont="1" applyFill="1" applyAlignment="1">
      <alignment horizontal="left" vertical="center" wrapText="1"/>
    </xf>
    <xf numFmtId="4" fontId="15" fillId="2" borderId="0" xfId="0" applyNumberFormat="1" applyFont="1" applyFill="1" applyAlignment="1">
      <alignment horizontal="left" vertical="center" wrapText="1"/>
    </xf>
    <xf numFmtId="4" fontId="15" fillId="2" borderId="0" xfId="0" applyNumberFormat="1" applyFont="1" applyFill="1"/>
    <xf numFmtId="4" fontId="15" fillId="2" borderId="0" xfId="0" applyNumberFormat="1" applyFont="1" applyFill="1" applyAlignment="1">
      <alignment horizontal="center"/>
    </xf>
    <xf numFmtId="0" fontId="15" fillId="2" borderId="0" xfId="0" applyFont="1" applyFill="1" applyBorder="1"/>
    <xf numFmtId="0" fontId="15" fillId="2" borderId="0" xfId="0" applyFont="1" applyFill="1" applyBorder="1" applyAlignment="1">
      <alignment horizontal="center"/>
    </xf>
    <xf numFmtId="4" fontId="15" fillId="2" borderId="0" xfId="0" applyNumberFormat="1" applyFont="1" applyFill="1" applyBorder="1"/>
    <xf numFmtId="0" fontId="15" fillId="2" borderId="13" xfId="0" applyFont="1" applyFill="1" applyBorder="1" applyAlignment="1">
      <alignment horizontal="center"/>
    </xf>
    <xf numFmtId="49" fontId="18" fillId="2" borderId="0" xfId="0" applyNumberFormat="1" applyFont="1" applyFill="1" applyBorder="1" applyAlignment="1">
      <alignment horizontal="left" vertical="center" wrapText="1"/>
    </xf>
    <xf numFmtId="0" fontId="19" fillId="2" borderId="0" xfId="0" applyFont="1" applyFill="1" applyBorder="1"/>
    <xf numFmtId="0" fontId="18" fillId="2" borderId="18" xfId="0" applyFont="1" applyFill="1" applyBorder="1" applyAlignment="1">
      <alignment horizontal="center"/>
    </xf>
    <xf numFmtId="4" fontId="18" fillId="2" borderId="19" xfId="0" applyNumberFormat="1" applyFont="1" applyFill="1" applyBorder="1" applyAlignment="1">
      <alignment horizontal="center" vertical="center"/>
    </xf>
    <xf numFmtId="4" fontId="18" fillId="2" borderId="11" xfId="0" applyNumberFormat="1" applyFont="1" applyFill="1" applyBorder="1" applyAlignment="1">
      <alignment horizontal="center" vertical="center"/>
    </xf>
    <xf numFmtId="0" fontId="18" fillId="2" borderId="25" xfId="0" applyFont="1" applyFill="1" applyBorder="1" applyAlignment="1">
      <alignment horizontal="center"/>
    </xf>
    <xf numFmtId="4" fontId="18" fillId="2" borderId="16" xfId="0" applyNumberFormat="1" applyFont="1" applyFill="1" applyBorder="1" applyAlignment="1">
      <alignment horizontal="center" vertical="center"/>
    </xf>
    <xf numFmtId="4" fontId="18" fillId="2" borderId="9" xfId="0" applyNumberFormat="1" applyFont="1" applyFill="1" applyBorder="1" applyAlignment="1">
      <alignment horizontal="center" vertical="center"/>
    </xf>
    <xf numFmtId="4" fontId="18" fillId="2" borderId="0" xfId="0" applyNumberFormat="1" applyFont="1" applyFill="1" applyBorder="1" applyAlignment="1">
      <alignment horizontal="center" vertical="center" wrapText="1"/>
    </xf>
    <xf numFmtId="4" fontId="15" fillId="2" borderId="1" xfId="0" applyNumberFormat="1" applyFont="1" applyFill="1" applyBorder="1" applyAlignment="1">
      <alignment horizontal="left" wrapText="1"/>
    </xf>
    <xf numFmtId="49" fontId="18" fillId="2" borderId="20" xfId="0" applyNumberFormat="1" applyFont="1" applyFill="1" applyBorder="1" applyAlignment="1">
      <alignment horizontal="center" wrapText="1"/>
    </xf>
    <xf numFmtId="49" fontId="18" fillId="2" borderId="21" xfId="0" applyNumberFormat="1" applyFont="1" applyFill="1" applyBorder="1" applyAlignment="1">
      <alignment horizontal="center" wrapText="1"/>
    </xf>
    <xf numFmtId="0" fontId="15" fillId="2" borderId="0" xfId="0" applyFont="1" applyFill="1" applyBorder="1" applyAlignment="1"/>
    <xf numFmtId="10" fontId="19" fillId="2" borderId="1" xfId="11" applyNumberFormat="1" applyFont="1" applyFill="1" applyBorder="1"/>
    <xf numFmtId="1" fontId="15" fillId="2" borderId="1" xfId="0" applyNumberFormat="1" applyFont="1" applyFill="1" applyBorder="1"/>
    <xf numFmtId="0" fontId="15" fillId="2" borderId="7" xfId="0" applyFont="1" applyFill="1" applyBorder="1" applyAlignment="1">
      <alignment horizontal="center" vertical="center" wrapText="1"/>
    </xf>
    <xf numFmtId="4" fontId="15" fillId="2" borderId="1" xfId="0" applyNumberFormat="1" applyFont="1" applyFill="1" applyBorder="1"/>
    <xf numFmtId="4" fontId="15" fillId="2" borderId="1" xfId="0" applyNumberFormat="1" applyFont="1" applyFill="1" applyBorder="1" applyAlignment="1">
      <alignment horizontal="left"/>
    </xf>
    <xf numFmtId="166" fontId="15" fillId="2" borderId="7" xfId="0" applyNumberFormat="1" applyFont="1" applyFill="1" applyBorder="1" applyAlignment="1">
      <alignment horizontal="center" vertical="center" wrapText="1"/>
    </xf>
    <xf numFmtId="10" fontId="15" fillId="2" borderId="0" xfId="0" applyNumberFormat="1" applyFont="1" applyFill="1" applyBorder="1" applyAlignment="1">
      <alignment horizontal="center"/>
    </xf>
    <xf numFmtId="0" fontId="15" fillId="2" borderId="22" xfId="0" applyFont="1" applyFill="1" applyBorder="1" applyAlignment="1">
      <alignment horizontal="center"/>
    </xf>
    <xf numFmtId="4" fontId="20" fillId="2" borderId="0" xfId="0" applyNumberFormat="1" applyFont="1" applyFill="1" applyAlignment="1">
      <alignment horizontal="center"/>
    </xf>
    <xf numFmtId="0" fontId="20" fillId="2" borderId="0" xfId="0" applyFont="1" applyFill="1" applyAlignment="1">
      <alignment horizontal="center"/>
    </xf>
    <xf numFmtId="0" fontId="18" fillId="2" borderId="13" xfId="0" applyFont="1" applyFill="1" applyBorder="1" applyAlignment="1">
      <alignment horizontal="center"/>
    </xf>
    <xf numFmtId="0" fontId="18" fillId="2" borderId="14" xfId="0" applyFont="1" applyFill="1" applyBorder="1" applyAlignment="1">
      <alignment horizontal="center"/>
    </xf>
    <xf numFmtId="0" fontId="15" fillId="2" borderId="4" xfId="0" applyFont="1" applyFill="1" applyBorder="1" applyAlignment="1">
      <alignment horizontal="center" vertical="center" wrapText="1"/>
    </xf>
    <xf numFmtId="4" fontId="18" fillId="2" borderId="1" xfId="0" applyNumberFormat="1" applyFont="1" applyFill="1" applyBorder="1"/>
    <xf numFmtId="10" fontId="18" fillId="2" borderId="1" xfId="0" applyNumberFormat="1" applyFont="1" applyFill="1" applyBorder="1" applyAlignment="1">
      <alignment horizontal="center"/>
    </xf>
    <xf numFmtId="0" fontId="15" fillId="2" borderId="16" xfId="0" applyFont="1" applyFill="1" applyBorder="1" applyAlignment="1">
      <alignment horizontal="center" vertical="center" wrapText="1"/>
    </xf>
    <xf numFmtId="4" fontId="15" fillId="2" borderId="9" xfId="0" applyNumberFormat="1" applyFont="1" applyFill="1" applyBorder="1"/>
    <xf numFmtId="4" fontId="18" fillId="2" borderId="0" xfId="0" applyNumberFormat="1" applyFont="1" applyFill="1" applyAlignment="1">
      <alignment horizontal="center" vertical="center" wrapText="1"/>
    </xf>
    <xf numFmtId="4" fontId="18" fillId="2" borderId="0" xfId="0" applyNumberFormat="1" applyFont="1" applyFill="1" applyBorder="1"/>
    <xf numFmtId="4" fontId="18" fillId="2" borderId="0" xfId="0" applyNumberFormat="1" applyFont="1" applyFill="1" applyBorder="1" applyAlignment="1">
      <alignment horizontal="center"/>
    </xf>
    <xf numFmtId="0" fontId="15" fillId="2" borderId="1" xfId="0" applyFont="1" applyFill="1" applyBorder="1"/>
    <xf numFmtId="10" fontId="18" fillId="2" borderId="0" xfId="0" applyNumberFormat="1" applyFont="1" applyFill="1" applyAlignment="1">
      <alignment horizontal="center"/>
    </xf>
    <xf numFmtId="49" fontId="18" fillId="2" borderId="0" xfId="0" applyNumberFormat="1" applyFont="1" applyFill="1" applyAlignment="1">
      <alignment horizontal="right" vertical="center" wrapText="1"/>
    </xf>
    <xf numFmtId="0" fontId="18" fillId="2" borderId="0" xfId="0" applyFont="1" applyFill="1" applyAlignment="1">
      <alignment horizontal="center"/>
    </xf>
    <xf numFmtId="0" fontId="19" fillId="2" borderId="0" xfId="0" applyFont="1" applyFill="1"/>
    <xf numFmtId="4" fontId="18" fillId="2" borderId="0" xfId="0" applyNumberFormat="1" applyFont="1" applyFill="1"/>
    <xf numFmtId="4" fontId="15" fillId="2" borderId="0" xfId="0" applyNumberFormat="1" applyFont="1" applyFill="1" applyBorder="1" applyAlignment="1">
      <alignment horizontal="right" vertical="center" wrapText="1"/>
    </xf>
    <xf numFmtId="0" fontId="18" fillId="2" borderId="0" xfId="0" applyFont="1" applyFill="1"/>
    <xf numFmtId="10" fontId="18" fillId="2" borderId="1" xfId="0" applyNumberFormat="1" applyFont="1" applyFill="1" applyBorder="1"/>
    <xf numFmtId="10" fontId="18" fillId="2" borderId="3" xfId="0" applyNumberFormat="1" applyFont="1" applyFill="1" applyBorder="1"/>
    <xf numFmtId="10" fontId="18" fillId="2" borderId="3" xfId="0" applyNumberFormat="1" applyFont="1" applyFill="1" applyBorder="1" applyAlignment="1">
      <alignment horizontal="center"/>
    </xf>
    <xf numFmtId="10" fontId="18" fillId="2" borderId="12" xfId="0" applyNumberFormat="1" applyFont="1" applyFill="1" applyBorder="1" applyAlignment="1">
      <alignment horizontal="center"/>
    </xf>
    <xf numFmtId="4" fontId="19" fillId="2" borderId="0" xfId="0" applyNumberFormat="1" applyFont="1" applyFill="1"/>
    <xf numFmtId="3" fontId="18" fillId="2" borderId="1" xfId="0" applyNumberFormat="1" applyFont="1" applyFill="1" applyBorder="1" applyAlignment="1">
      <alignment horizontal="center" vertical="center"/>
    </xf>
    <xf numFmtId="3" fontId="15" fillId="2" borderId="0" xfId="0" applyNumberFormat="1" applyFont="1" applyFill="1" applyAlignment="1">
      <alignment horizontal="center" vertical="center"/>
    </xf>
    <xf numFmtId="10" fontId="15" fillId="2" borderId="0" xfId="0" applyNumberFormat="1" applyFont="1" applyFill="1" applyAlignment="1">
      <alignment horizontal="center" vertical="center"/>
    </xf>
    <xf numFmtId="3" fontId="15" fillId="2" borderId="0" xfId="0" applyNumberFormat="1" applyFont="1" applyFill="1" applyAlignment="1">
      <alignment wrapText="1"/>
    </xf>
    <xf numFmtId="3" fontId="18" fillId="2" borderId="3"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 fontId="18" fillId="2" borderId="0"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166" fontId="7" fillId="2" borderId="7"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Border="1" applyAlignment="1">
      <alignment horizontal="right" vertical="center" wrapText="1"/>
    </xf>
    <xf numFmtId="166" fontId="7" fillId="2" borderId="0" xfId="0" applyNumberFormat="1" applyFont="1" applyFill="1" applyBorder="1" applyAlignment="1">
      <alignment horizontal="right" vertical="center" wrapText="1"/>
    </xf>
    <xf numFmtId="1" fontId="15" fillId="2" borderId="0" xfId="0" applyNumberFormat="1" applyFont="1" applyFill="1" applyBorder="1" applyAlignment="1">
      <alignment horizontal="center"/>
    </xf>
    <xf numFmtId="4" fontId="18" fillId="2" borderId="2" xfId="0" applyNumberFormat="1" applyFont="1" applyFill="1" applyBorder="1"/>
    <xf numFmtId="0" fontId="3" fillId="2" borderId="15" xfId="0" applyFont="1" applyFill="1" applyBorder="1" applyAlignment="1">
      <alignment horizontal="center"/>
    </xf>
    <xf numFmtId="4" fontId="3" fillId="2" borderId="1" xfId="0" applyNumberFormat="1" applyFont="1" applyFill="1" applyBorder="1"/>
    <xf numFmtId="4" fontId="3" fillId="2" borderId="9" xfId="0" applyNumberFormat="1" applyFont="1" applyFill="1" applyBorder="1"/>
    <xf numFmtId="4" fontId="3" fillId="2" borderId="0" xfId="0" applyNumberFormat="1" applyFont="1" applyFill="1" applyBorder="1"/>
    <xf numFmtId="4" fontId="8" fillId="2" borderId="1" xfId="0" applyNumberFormat="1" applyFont="1" applyFill="1" applyBorder="1"/>
    <xf numFmtId="4" fontId="3" fillId="2" borderId="1" xfId="0" applyNumberFormat="1" applyFont="1" applyFill="1" applyBorder="1" applyAlignment="1">
      <alignment horizontal="center" vertical="center" wrapText="1"/>
    </xf>
    <xf numFmtId="4" fontId="3" fillId="2" borderId="12" xfId="0" applyNumberFormat="1" applyFont="1" applyFill="1" applyBorder="1" applyAlignment="1">
      <alignment horizontal="center"/>
    </xf>
    <xf numFmtId="4" fontId="3" fillId="2" borderId="12" xfId="0" applyNumberFormat="1" applyFont="1" applyFill="1" applyBorder="1"/>
    <xf numFmtId="4" fontId="3" fillId="2" borderId="1" xfId="0" applyNumberFormat="1" applyFont="1" applyFill="1" applyBorder="1" applyAlignment="1">
      <alignment horizontal="center"/>
    </xf>
    <xf numFmtId="4" fontId="3" fillId="2" borderId="0" xfId="0" applyNumberFormat="1" applyFont="1" applyFill="1" applyBorder="1" applyAlignment="1">
      <alignment horizontal="center"/>
    </xf>
    <xf numFmtId="1" fontId="15" fillId="2" borderId="0" xfId="0" applyNumberFormat="1" applyFont="1" applyFill="1" applyBorder="1"/>
    <xf numFmtId="1" fontId="15" fillId="2" borderId="1" xfId="0" applyNumberFormat="1" applyFont="1" applyFill="1" applyBorder="1" applyAlignment="1">
      <alignment horizontal="center"/>
    </xf>
    <xf numFmtId="1" fontId="3" fillId="2" borderId="1" xfId="0" applyNumberFormat="1" applyFont="1" applyFill="1" applyBorder="1"/>
    <xf numFmtId="1" fontId="3" fillId="2" borderId="0" xfId="0" applyNumberFormat="1" applyFont="1" applyFill="1" applyBorder="1"/>
    <xf numFmtId="0" fontId="3" fillId="2" borderId="0" xfId="0" applyFont="1" applyFill="1" applyBorder="1" applyAlignment="1">
      <alignment horizontal="center"/>
    </xf>
    <xf numFmtId="4" fontId="3" fillId="2" borderId="6" xfId="0" applyNumberFormat="1" applyFont="1" applyFill="1" applyBorder="1" applyAlignment="1">
      <alignment horizontal="center"/>
    </xf>
    <xf numFmtId="0" fontId="3" fillId="2" borderId="0" xfId="0" applyFont="1" applyFill="1" applyAlignment="1">
      <alignment horizontal="center"/>
    </xf>
    <xf numFmtId="49" fontId="18" fillId="2" borderId="0" xfId="0" applyNumberFormat="1" applyFont="1" applyFill="1" applyBorder="1" applyAlignment="1">
      <alignment horizontal="center" vertical="center" wrapText="1"/>
    </xf>
    <xf numFmtId="0" fontId="15" fillId="2" borderId="35" xfId="0" applyFont="1" applyFill="1" applyBorder="1" applyAlignment="1">
      <alignment horizontal="center" vertical="center" wrapText="1"/>
    </xf>
    <xf numFmtId="4" fontId="15" fillId="2" borderId="33" xfId="0" applyNumberFormat="1" applyFont="1" applyFill="1" applyBorder="1"/>
    <xf numFmtId="0" fontId="18" fillId="2" borderId="0" xfId="0" applyFont="1" applyFill="1" applyBorder="1" applyAlignment="1"/>
    <xf numFmtId="0" fontId="15" fillId="2" borderId="1" xfId="0" applyFont="1" applyFill="1" applyBorder="1" applyAlignment="1">
      <alignment horizontal="center" vertical="center"/>
    </xf>
    <xf numFmtId="3" fontId="15" fillId="2" borderId="0" xfId="0" applyNumberFormat="1" applyFont="1" applyFill="1" applyAlignment="1">
      <alignment horizontal="center"/>
    </xf>
    <xf numFmtId="4" fontId="15" fillId="2" borderId="0" xfId="0" applyNumberFormat="1" applyFont="1" applyFill="1" applyAlignment="1">
      <alignment horizontal="center" vertical="center"/>
    </xf>
    <xf numFmtId="4" fontId="15" fillId="2" borderId="0" xfId="0" applyNumberFormat="1" applyFont="1" applyFill="1" applyBorder="1" applyAlignment="1">
      <alignment horizontal="left" vertical="center" wrapText="1"/>
    </xf>
    <xf numFmtId="49" fontId="18" fillId="2" borderId="17" xfId="0" applyNumberFormat="1" applyFont="1" applyFill="1" applyBorder="1" applyAlignment="1">
      <alignment horizontal="center" vertical="center" wrapText="1"/>
    </xf>
    <xf numFmtId="49" fontId="15" fillId="2" borderId="3" xfId="0" applyNumberFormat="1" applyFont="1" applyFill="1" applyBorder="1" applyAlignment="1">
      <alignment horizontal="center" wrapText="1"/>
    </xf>
    <xf numFmtId="49" fontId="15" fillId="2" borderId="0" xfId="0" applyNumberFormat="1" applyFont="1" applyFill="1" applyBorder="1" applyAlignment="1">
      <alignment horizontal="center" wrapText="1"/>
    </xf>
    <xf numFmtId="1" fontId="15" fillId="2" borderId="3" xfId="0" applyNumberFormat="1" applyFont="1" applyFill="1" applyBorder="1"/>
    <xf numFmtId="2" fontId="15" fillId="2" borderId="3" xfId="0" applyNumberFormat="1" applyFont="1" applyFill="1" applyBorder="1" applyAlignment="1">
      <alignment horizontal="center"/>
    </xf>
    <xf numFmtId="2" fontId="15" fillId="2" borderId="27" xfId="0" applyNumberFormat="1" applyFont="1" applyFill="1" applyBorder="1" applyAlignment="1">
      <alignment horizontal="center"/>
    </xf>
    <xf numFmtId="2" fontId="15" fillId="2" borderId="0" xfId="0" applyNumberFormat="1" applyFont="1" applyFill="1" applyBorder="1" applyAlignment="1">
      <alignment horizontal="center"/>
    </xf>
    <xf numFmtId="4" fontId="15" fillId="2" borderId="0" xfId="0" applyNumberFormat="1" applyFont="1" applyFill="1" applyBorder="1" applyAlignment="1">
      <alignment horizontal="center" vertical="center" wrapText="1"/>
    </xf>
    <xf numFmtId="0" fontId="19" fillId="2" borderId="0" xfId="0" applyFont="1" applyFill="1" applyAlignment="1">
      <alignment horizontal="center"/>
    </xf>
    <xf numFmtId="4" fontId="15" fillId="2" borderId="26" xfId="0" applyNumberFormat="1" applyFont="1" applyFill="1" applyBorder="1"/>
    <xf numFmtId="0" fontId="19" fillId="2" borderId="0" xfId="0" applyFont="1" applyFill="1" applyBorder="1" applyAlignment="1">
      <alignment horizontal="center"/>
    </xf>
    <xf numFmtId="3" fontId="26" fillId="2" borderId="23" xfId="0" applyNumberFormat="1" applyFont="1" applyFill="1" applyBorder="1" applyAlignment="1">
      <alignment horizontal="right" vertical="center"/>
    </xf>
    <xf numFmtId="0" fontId="18" fillId="2" borderId="38" xfId="0" applyFont="1" applyFill="1" applyBorder="1" applyAlignment="1">
      <alignment horizontal="center" vertical="center"/>
    </xf>
    <xf numFmtId="4" fontId="18" fillId="2" borderId="38" xfId="0" applyNumberFormat="1" applyFont="1" applyFill="1" applyBorder="1" applyAlignment="1">
      <alignment horizontal="center" vertical="center"/>
    </xf>
    <xf numFmtId="3" fontId="18" fillId="2" borderId="38" xfId="0" applyNumberFormat="1" applyFont="1" applyFill="1" applyBorder="1" applyAlignment="1">
      <alignment horizontal="center" vertical="center"/>
    </xf>
    <xf numFmtId="0" fontId="15" fillId="2" borderId="38" xfId="0" applyFont="1" applyFill="1" applyBorder="1" applyAlignment="1">
      <alignment horizontal="center" vertical="center"/>
    </xf>
    <xf numFmtId="49" fontId="15" fillId="2" borderId="38" xfId="0" applyNumberFormat="1" applyFont="1" applyFill="1" applyBorder="1" applyAlignment="1">
      <alignment horizontal="center" vertical="center" wrapText="1"/>
    </xf>
    <xf numFmtId="4" fontId="3" fillId="0" borderId="0" xfId="0" applyNumberFormat="1" applyFont="1" applyFill="1" applyAlignment="1">
      <alignment horizontal="left" vertical="center" wrapText="1"/>
    </xf>
    <xf numFmtId="49" fontId="3" fillId="2" borderId="39" xfId="0" applyNumberFormat="1" applyFont="1" applyFill="1" applyBorder="1" applyAlignment="1">
      <alignment horizontal="left" vertical="center" wrapText="1"/>
    </xf>
    <xf numFmtId="10" fontId="15" fillId="2" borderId="0" xfId="0" applyNumberFormat="1" applyFont="1" applyFill="1" applyAlignment="1">
      <alignment horizontal="center"/>
    </xf>
    <xf numFmtId="49" fontId="18" fillId="2" borderId="0" xfId="0" applyNumberFormat="1" applyFont="1" applyFill="1" applyBorder="1" applyAlignment="1">
      <alignment horizontal="center" wrapText="1"/>
    </xf>
    <xf numFmtId="49" fontId="18" fillId="2" borderId="10" xfId="0" applyNumberFormat="1" applyFont="1" applyFill="1" applyBorder="1" applyAlignment="1">
      <alignment horizontal="center" wrapText="1"/>
    </xf>
    <xf numFmtId="49" fontId="3" fillId="2" borderId="1" xfId="0" applyNumberFormat="1" applyFont="1" applyFill="1" applyBorder="1" applyAlignment="1">
      <alignment horizontal="right" vertical="center"/>
    </xf>
    <xf numFmtId="3" fontId="15" fillId="2" borderId="8" xfId="0" applyNumberFormat="1" applyFont="1" applyFill="1" applyBorder="1"/>
    <xf numFmtId="3" fontId="8" fillId="0" borderId="0" xfId="11" applyNumberFormat="1" applyFont="1" applyFill="1" applyBorder="1" applyAlignment="1">
      <alignment horizontal="left" vertical="center" wrapText="1"/>
    </xf>
    <xf numFmtId="3" fontId="18" fillId="2" borderId="23" xfId="0" applyNumberFormat="1" applyFont="1" applyFill="1" applyBorder="1" applyAlignment="1">
      <alignment horizontal="center"/>
    </xf>
    <xf numFmtId="3" fontId="18" fillId="2" borderId="24" xfId="0" applyNumberFormat="1" applyFont="1" applyFill="1" applyBorder="1" applyAlignment="1">
      <alignment horizontal="center"/>
    </xf>
    <xf numFmtId="1" fontId="7"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7" fillId="0" borderId="0" xfId="0" applyFont="1" applyFill="1" applyBorder="1" applyAlignment="1">
      <alignment horizontal="right"/>
    </xf>
    <xf numFmtId="3" fontId="15" fillId="2" borderId="1" xfId="0" applyNumberFormat="1" applyFont="1" applyFill="1" applyBorder="1" applyAlignment="1">
      <alignment horizontal="center"/>
    </xf>
    <xf numFmtId="0" fontId="13" fillId="2" borderId="0" xfId="0" applyFont="1" applyFill="1" applyAlignment="1">
      <alignment horizontal="center"/>
    </xf>
    <xf numFmtId="3" fontId="3" fillId="0" borderId="0" xfId="0" applyNumberFormat="1" applyFont="1" applyFill="1" applyAlignment="1">
      <alignment horizontal="left"/>
    </xf>
    <xf numFmtId="3" fontId="13" fillId="2" borderId="0" xfId="0" applyNumberFormat="1" applyFont="1" applyFill="1" applyAlignment="1">
      <alignment horizontal="center"/>
    </xf>
    <xf numFmtId="4" fontId="13" fillId="2" borderId="0" xfId="0" applyNumberFormat="1" applyFont="1" applyFill="1" applyAlignment="1">
      <alignment horizontal="center" wrapText="1"/>
    </xf>
    <xf numFmtId="49" fontId="15" fillId="2"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15" fillId="2"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0" fontId="21" fillId="0" borderId="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 fontId="15" fillId="0"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10" fontId="15" fillId="0" borderId="1" xfId="0" applyNumberFormat="1" applyFont="1" applyFill="1" applyBorder="1" applyAlignment="1">
      <alignment horizontal="center" vertical="center"/>
    </xf>
    <xf numFmtId="3" fontId="15" fillId="0" borderId="1" xfId="0" applyNumberFormat="1" applyFont="1" applyFill="1" applyBorder="1" applyAlignment="1" applyProtection="1">
      <alignment horizontal="center" vertical="center"/>
      <protection locked="0"/>
    </xf>
    <xf numFmtId="3" fontId="15" fillId="0" borderId="1" xfId="0" applyNumberFormat="1" applyFont="1" applyFill="1" applyBorder="1" applyAlignment="1">
      <alignment horizontal="center" vertical="center"/>
    </xf>
    <xf numFmtId="3" fontId="15" fillId="0" borderId="3" xfId="13" applyNumberFormat="1" applyFont="1" applyFill="1" applyBorder="1" applyAlignment="1" applyProtection="1">
      <alignment horizontal="center" vertical="center" wrapText="1"/>
    </xf>
    <xf numFmtId="49" fontId="27" fillId="0" borderId="8" xfId="0" applyNumberFormat="1" applyFont="1" applyFill="1" applyBorder="1" applyAlignment="1">
      <alignment horizontal="left" vertical="center" wrapText="1"/>
    </xf>
    <xf numFmtId="0" fontId="7" fillId="0" borderId="0" xfId="0" applyFont="1" applyFill="1" applyAlignment="1">
      <alignment horizontal="center"/>
    </xf>
    <xf numFmtId="1" fontId="15" fillId="0" borderId="1" xfId="0" quotePrefix="1" applyNumberFormat="1" applyFont="1" applyFill="1" applyBorder="1" applyAlignment="1">
      <alignment horizontal="center" vertical="center"/>
    </xf>
    <xf numFmtId="3" fontId="15" fillId="0" borderId="3" xfId="0" applyNumberFormat="1" applyFont="1" applyFill="1" applyBorder="1" applyAlignment="1" applyProtection="1">
      <alignment horizontal="center" vertical="center"/>
      <protection locked="0"/>
    </xf>
    <xf numFmtId="0" fontId="3" fillId="0" borderId="8" xfId="0" applyFont="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 fontId="15" fillId="0" borderId="1" xfId="4" applyNumberFormat="1" applyFont="1" applyFill="1" applyBorder="1" applyAlignment="1">
      <alignment horizontal="center" vertical="center" wrapText="1"/>
    </xf>
    <xf numFmtId="10" fontId="15" fillId="0" borderId="1" xfId="11"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14" fontId="3" fillId="0" borderId="8" xfId="0" applyNumberFormat="1" applyFont="1" applyFill="1" applyBorder="1" applyAlignment="1">
      <alignment horizontal="left" vertical="center" wrapText="1"/>
    </xf>
    <xf numFmtId="1" fontId="15" fillId="0" borderId="1" xfId="0" applyNumberFormat="1" applyFont="1" applyFill="1" applyBorder="1" applyAlignment="1">
      <alignment horizontal="center" vertical="center" wrapText="1"/>
    </xf>
    <xf numFmtId="10" fontId="15" fillId="0" borderId="1" xfId="11" applyNumberFormat="1" applyFont="1" applyFill="1" applyBorder="1" applyAlignment="1" applyProtection="1">
      <alignment horizontal="center" vertical="center"/>
    </xf>
    <xf numFmtId="10" fontId="15" fillId="0" borderId="1"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49" fontId="3" fillId="0" borderId="8"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49" fontId="15" fillId="0" borderId="1" xfId="5" applyNumberFormat="1" applyFont="1" applyFill="1" applyBorder="1" applyAlignment="1">
      <alignment horizontal="left" vertical="center" wrapText="1"/>
    </xf>
    <xf numFmtId="2" fontId="15" fillId="0" borderId="1" xfId="12" applyNumberFormat="1" applyFont="1" applyFill="1" applyBorder="1" applyAlignment="1">
      <alignment horizontal="center" vertical="center" wrapText="1"/>
    </xf>
    <xf numFmtId="1" fontId="15" fillId="0" borderId="1" xfId="12" applyNumberFormat="1" applyFont="1" applyFill="1" applyBorder="1" applyAlignment="1">
      <alignment horizontal="center" vertical="center" wrapText="1"/>
    </xf>
    <xf numFmtId="14" fontId="3" fillId="0" borderId="8" xfId="12"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15" fillId="0" borderId="33" xfId="0" applyFont="1" applyFill="1" applyBorder="1" applyAlignment="1">
      <alignment horizontal="center" vertical="center" wrapText="1"/>
    </xf>
    <xf numFmtId="4" fontId="3" fillId="0" borderId="8" xfId="0" applyNumberFormat="1" applyFont="1" applyFill="1" applyBorder="1" applyAlignment="1">
      <alignment horizontal="left" vertical="center" wrapText="1"/>
    </xf>
    <xf numFmtId="166" fontId="15" fillId="0" borderId="1" xfId="0" applyNumberFormat="1" applyFont="1" applyFill="1" applyBorder="1" applyAlignment="1">
      <alignment horizontal="center" vertical="center" wrapText="1"/>
    </xf>
    <xf numFmtId="166" fontId="15" fillId="0" borderId="1" xfId="0" quotePrefix="1"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9" fontId="15" fillId="0" borderId="33" xfId="0" applyNumberFormat="1" applyFont="1" applyFill="1" applyBorder="1" applyAlignment="1">
      <alignment horizontal="center" vertical="center" wrapText="1"/>
    </xf>
    <xf numFmtId="2" fontId="15" fillId="0" borderId="1" xfId="12" applyNumberFormat="1" applyFont="1" applyFill="1" applyBorder="1" applyAlignment="1">
      <alignment horizontal="left" vertical="center" wrapText="1"/>
    </xf>
    <xf numFmtId="4" fontId="15" fillId="0" borderId="1" xfId="4" quotePrefix="1" applyNumberFormat="1" applyFont="1" applyFill="1" applyBorder="1" applyAlignment="1">
      <alignment horizontal="center" vertical="center" wrapText="1"/>
    </xf>
    <xf numFmtId="0" fontId="3" fillId="0" borderId="8" xfId="17" applyFont="1" applyFill="1" applyBorder="1" applyAlignment="1">
      <alignment vertical="center" wrapText="1"/>
    </xf>
    <xf numFmtId="0" fontId="15" fillId="0" borderId="1" xfId="0" quotePrefix="1" applyFont="1" applyFill="1" applyBorder="1" applyAlignment="1">
      <alignment horizontal="left" vertical="center" wrapText="1"/>
    </xf>
    <xf numFmtId="0" fontId="15" fillId="0" borderId="1" xfId="0" quotePrefix="1" applyFont="1" applyFill="1" applyBorder="1" applyAlignment="1">
      <alignment horizontal="center" vertical="center" wrapText="1"/>
    </xf>
    <xf numFmtId="0" fontId="15" fillId="0" borderId="1" xfId="6" applyFont="1" applyFill="1" applyBorder="1" applyAlignment="1">
      <alignment horizontal="center" vertical="center" wrapText="1"/>
    </xf>
    <xf numFmtId="1" fontId="15" fillId="0" borderId="1" xfId="0" quotePrefix="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33" xfId="0" applyFont="1" applyFill="1" applyBorder="1" applyAlignment="1">
      <alignment horizontal="left" vertical="center" wrapText="1"/>
    </xf>
    <xf numFmtId="49" fontId="15" fillId="0" borderId="33" xfId="0" applyNumberFormat="1" applyFont="1" applyFill="1" applyBorder="1" applyAlignment="1">
      <alignment horizontal="center" vertical="center"/>
    </xf>
    <xf numFmtId="1" fontId="15" fillId="0" borderId="33" xfId="0" quotePrefix="1" applyNumberFormat="1" applyFont="1" applyFill="1" applyBorder="1" applyAlignment="1">
      <alignment horizontal="center" vertical="center" wrapText="1"/>
    </xf>
    <xf numFmtId="4" fontId="15" fillId="0" borderId="33" xfId="4" applyNumberFormat="1" applyFont="1" applyFill="1" applyBorder="1" applyAlignment="1">
      <alignment horizontal="center" vertical="center" wrapText="1"/>
    </xf>
    <xf numFmtId="10" fontId="15" fillId="0" borderId="33" xfId="11" applyNumberFormat="1" applyFont="1" applyFill="1" applyBorder="1" applyAlignment="1">
      <alignment horizontal="center" vertical="center"/>
    </xf>
    <xf numFmtId="10" fontId="15" fillId="0" borderId="33" xfId="0" applyNumberFormat="1" applyFont="1" applyFill="1" applyBorder="1" applyAlignment="1">
      <alignment horizontal="center" vertical="center"/>
    </xf>
    <xf numFmtId="3" fontId="15" fillId="0" borderId="33" xfId="0" applyNumberFormat="1" applyFont="1" applyFill="1" applyBorder="1" applyAlignment="1">
      <alignment horizontal="center" vertical="center"/>
    </xf>
    <xf numFmtId="3" fontId="15" fillId="0" borderId="33" xfId="0" applyNumberFormat="1" applyFont="1" applyFill="1" applyBorder="1" applyAlignment="1">
      <alignment horizontal="center" vertical="center" wrapText="1"/>
    </xf>
    <xf numFmtId="14" fontId="3" fillId="0" borderId="36" xfId="0" applyNumberFormat="1" applyFont="1" applyFill="1" applyBorder="1" applyAlignment="1">
      <alignment horizontal="left" vertical="center" wrapText="1"/>
    </xf>
    <xf numFmtId="0" fontId="15" fillId="0" borderId="1" xfId="12" applyFont="1" applyFill="1" applyBorder="1" applyAlignment="1">
      <alignment horizontal="left" vertical="center" wrapText="1"/>
    </xf>
    <xf numFmtId="0" fontId="15" fillId="0" borderId="1" xfId="12" applyFont="1" applyFill="1" applyBorder="1" applyAlignment="1">
      <alignment horizontal="center" vertical="center" wrapText="1"/>
    </xf>
    <xf numFmtId="1" fontId="15" fillId="0" borderId="1" xfId="12" applyNumberFormat="1" applyFont="1" applyFill="1" applyBorder="1" applyAlignment="1">
      <alignment horizontal="center" vertical="center"/>
    </xf>
    <xf numFmtId="4" fontId="3" fillId="0" borderId="8" xfId="17" applyNumberFormat="1" applyFont="1" applyFill="1" applyBorder="1" applyAlignment="1">
      <alignment horizontal="left" vertical="center" wrapText="1"/>
    </xf>
    <xf numFmtId="3" fontId="15" fillId="0" borderId="0" xfId="0" applyNumberFormat="1" applyFont="1" applyFill="1" applyBorder="1" applyAlignment="1" applyProtection="1">
      <alignment horizontal="center" vertical="center"/>
      <protection locked="0"/>
    </xf>
    <xf numFmtId="3" fontId="15" fillId="0" borderId="1" xfId="13" applyNumberFormat="1" applyFont="1" applyFill="1" applyBorder="1" applyAlignment="1" applyProtection="1">
      <alignment horizontal="center" vertical="center" wrapText="1"/>
    </xf>
    <xf numFmtId="0" fontId="33" fillId="0" borderId="2" xfId="12" applyFont="1" applyFill="1" applyBorder="1" applyAlignment="1">
      <alignment horizontal="left" vertical="top" wrapText="1"/>
    </xf>
    <xf numFmtId="3" fontId="3" fillId="0" borderId="8" xfId="12" applyNumberFormat="1" applyFont="1" applyFill="1" applyBorder="1" applyAlignment="1">
      <alignment horizontal="left" vertical="center" wrapText="1"/>
    </xf>
    <xf numFmtId="0" fontId="29" fillId="0" borderId="2" xfId="12" applyFont="1" applyFill="1" applyBorder="1" applyAlignment="1">
      <alignment horizontal="left" vertical="top" wrapText="1"/>
    </xf>
    <xf numFmtId="3" fontId="21" fillId="0" borderId="1" xfId="0" applyNumberFormat="1" applyFont="1" applyFill="1" applyBorder="1" applyAlignment="1">
      <alignment horizontal="center" vertical="center"/>
    </xf>
    <xf numFmtId="4" fontId="15" fillId="0" borderId="1" xfId="9" applyNumberFormat="1" applyFont="1" applyFill="1" applyBorder="1" applyAlignment="1">
      <alignment horizontal="center" vertical="center" wrapText="1"/>
    </xf>
    <xf numFmtId="1" fontId="15" fillId="0" borderId="1" xfId="15" applyNumberFormat="1" applyFont="1" applyFill="1" applyBorder="1" applyAlignment="1">
      <alignment horizontal="center" vertical="center"/>
    </xf>
    <xf numFmtId="1" fontId="3" fillId="0" borderId="1" xfId="9"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9" fontId="28" fillId="0" borderId="8" xfId="12" applyNumberFormat="1" applyFont="1" applyFill="1" applyBorder="1" applyAlignment="1">
      <alignment vertical="center" wrapText="1"/>
    </xf>
    <xf numFmtId="1" fontId="15" fillId="0" borderId="1" xfId="9" applyNumberFormat="1" applyFont="1" applyFill="1" applyBorder="1" applyAlignment="1">
      <alignment horizontal="center" vertical="center"/>
    </xf>
    <xf numFmtId="3" fontId="15" fillId="0" borderId="3"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wrapText="1"/>
    </xf>
    <xf numFmtId="14" fontId="15" fillId="0" borderId="8" xfId="0" applyNumberFormat="1" applyFont="1" applyFill="1" applyBorder="1" applyAlignment="1">
      <alignment horizontal="left" vertical="center" wrapText="1"/>
    </xf>
    <xf numFmtId="0" fontId="3" fillId="0" borderId="8" xfId="0" applyFont="1" applyFill="1" applyBorder="1" applyAlignment="1">
      <alignment vertical="center" wrapText="1"/>
    </xf>
    <xf numFmtId="0" fontId="15" fillId="0" borderId="1" xfId="15" applyFont="1" applyFill="1" applyBorder="1" applyAlignment="1">
      <alignment horizontal="left" vertical="center" wrapText="1"/>
    </xf>
    <xf numFmtId="0" fontId="15" fillId="0" borderId="1" xfId="15"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 fontId="15" fillId="0" borderId="1" xfId="10" applyNumberFormat="1" applyFont="1" applyFill="1" applyBorder="1" applyAlignment="1">
      <alignment horizontal="center" vertical="center" wrapText="1"/>
    </xf>
    <xf numFmtId="49" fontId="15" fillId="0" borderId="33" xfId="5" applyNumberFormat="1" applyFont="1" applyFill="1" applyBorder="1" applyAlignment="1">
      <alignment horizontal="left" vertical="center" wrapText="1"/>
    </xf>
    <xf numFmtId="1" fontId="21" fillId="0" borderId="33" xfId="0" applyNumberFormat="1" applyFont="1" applyFill="1" applyBorder="1" applyAlignment="1">
      <alignment horizontal="center" vertical="center" wrapText="1"/>
    </xf>
    <xf numFmtId="4" fontId="15" fillId="0" borderId="33" xfId="0" applyNumberFormat="1" applyFont="1" applyFill="1" applyBorder="1" applyAlignment="1">
      <alignment horizontal="center" vertical="center"/>
    </xf>
    <xf numFmtId="10" fontId="15" fillId="0" borderId="0" xfId="11" applyNumberFormat="1" applyFont="1" applyFill="1" applyBorder="1" applyAlignment="1" applyProtection="1">
      <alignment horizontal="center" vertical="center"/>
    </xf>
    <xf numFmtId="3" fontId="15" fillId="0" borderId="17" xfId="0" applyNumberFormat="1" applyFont="1" applyFill="1" applyBorder="1" applyAlignment="1">
      <alignment horizontal="center" vertical="center" wrapText="1"/>
    </xf>
    <xf numFmtId="0" fontId="15" fillId="0" borderId="1" xfId="12" applyNumberFormat="1" applyFont="1" applyFill="1" applyBorder="1" applyAlignment="1">
      <alignment horizontal="left" vertical="center" wrapText="1"/>
    </xf>
    <xf numFmtId="0" fontId="15" fillId="0" borderId="1" xfId="9" applyFont="1" applyFill="1" applyBorder="1" applyAlignment="1">
      <alignment vertical="center" wrapText="1"/>
    </xf>
    <xf numFmtId="0" fontId="15" fillId="0" borderId="1" xfId="9" applyFont="1" applyFill="1" applyBorder="1" applyAlignment="1">
      <alignment horizontal="center" vertical="center" wrapText="1"/>
    </xf>
    <xf numFmtId="1" fontId="21" fillId="0" borderId="1" xfId="9"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14" fontId="3" fillId="0" borderId="8" xfId="0" applyNumberFormat="1" applyFont="1" applyFill="1" applyBorder="1" applyAlignment="1">
      <alignment horizontal="left" vertical="top" wrapText="1"/>
    </xf>
    <xf numFmtId="10" fontId="15" fillId="0" borderId="1" xfId="11" applyNumberFormat="1" applyFont="1" applyFill="1" applyBorder="1" applyAlignment="1">
      <alignment horizontal="center" vertical="center" wrapText="1"/>
    </xf>
    <xf numFmtId="10" fontId="15" fillId="0" borderId="29" xfId="0" applyNumberFormat="1" applyFont="1" applyFill="1" applyBorder="1" applyAlignment="1">
      <alignment horizontal="center" vertical="center"/>
    </xf>
    <xf numFmtId="1" fontId="15" fillId="0" borderId="33"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xf>
    <xf numFmtId="4" fontId="15" fillId="0" borderId="1" xfId="0" applyNumberFormat="1" applyFont="1" applyFill="1" applyBorder="1" applyAlignment="1">
      <alignment horizontal="left" vertical="center" wrapText="1"/>
    </xf>
    <xf numFmtId="49" fontId="15" fillId="0" borderId="8" xfId="0" applyNumberFormat="1" applyFont="1" applyFill="1" applyBorder="1" applyAlignment="1">
      <alignment horizontal="left" vertical="center" wrapText="1"/>
    </xf>
    <xf numFmtId="49" fontId="15" fillId="0" borderId="8" xfId="0" applyNumberFormat="1" applyFont="1" applyFill="1" applyBorder="1" applyAlignment="1">
      <alignment horizontal="center" vertical="center" wrapText="1"/>
    </xf>
    <xf numFmtId="10" fontId="15" fillId="0" borderId="1" xfId="11" applyNumberFormat="1" applyFont="1" applyFill="1" applyBorder="1" applyAlignment="1" applyProtection="1">
      <alignment horizontal="center" vertical="center" wrapText="1"/>
    </xf>
    <xf numFmtId="3" fontId="15" fillId="0" borderId="31" xfId="0" applyNumberFormat="1" applyFont="1" applyFill="1" applyBorder="1" applyAlignment="1">
      <alignment horizontal="center" vertical="center"/>
    </xf>
    <xf numFmtId="3" fontId="15" fillId="0" borderId="30" xfId="0" applyNumberFormat="1" applyFont="1" applyFill="1" applyBorder="1" applyAlignment="1">
      <alignment horizontal="center" vertical="center"/>
    </xf>
    <xf numFmtId="49" fontId="15" fillId="0" borderId="1" xfId="0" applyNumberFormat="1" applyFont="1" applyFill="1" applyBorder="1" applyAlignment="1" applyProtection="1">
      <alignment horizontal="center" vertical="center" wrapText="1"/>
      <protection locked="0"/>
    </xf>
    <xf numFmtId="3" fontId="22" fillId="0" borderId="3" xfId="13" applyNumberFormat="1" applyFont="1" applyFill="1" applyBorder="1" applyAlignment="1" applyProtection="1">
      <alignment horizontal="center" vertical="center" wrapText="1"/>
    </xf>
    <xf numFmtId="10" fontId="15" fillId="0" borderId="28" xfId="11" applyNumberFormat="1" applyFont="1" applyFill="1" applyBorder="1" applyAlignment="1">
      <alignment horizontal="center" vertical="center"/>
    </xf>
    <xf numFmtId="0" fontId="15" fillId="0" borderId="1" xfId="0" applyNumberFormat="1" applyFont="1" applyFill="1" applyBorder="1" applyAlignment="1">
      <alignment vertical="center" wrapText="1"/>
    </xf>
    <xf numFmtId="1" fontId="15" fillId="0" borderId="1" xfId="15" applyNumberFormat="1" applyFont="1" applyFill="1" applyBorder="1" applyAlignment="1">
      <alignment horizontal="center" vertical="center" wrapText="1"/>
    </xf>
    <xf numFmtId="4" fontId="15" fillId="0" borderId="1" xfId="1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4" fontId="13" fillId="0" borderId="1" xfId="0" applyNumberFormat="1" applyFont="1" applyFill="1" applyBorder="1" applyAlignment="1">
      <alignment horizontal="center" vertical="center" wrapText="1"/>
    </xf>
    <xf numFmtId="49" fontId="15" fillId="0" borderId="1" xfId="1" applyNumberFormat="1" applyFont="1" applyFill="1" applyBorder="1" applyAlignment="1">
      <alignment horizontal="left" vertical="center" wrapText="1"/>
    </xf>
    <xf numFmtId="0" fontId="3" fillId="0" borderId="1" xfId="6" applyFont="1" applyFill="1" applyBorder="1" applyAlignment="1">
      <alignment horizontal="center" vertical="center" wrapText="1"/>
    </xf>
    <xf numFmtId="0" fontId="15" fillId="0" borderId="8" xfId="6" applyFont="1" applyFill="1" applyBorder="1" applyAlignment="1">
      <alignment horizontal="left" vertical="center" wrapText="1"/>
    </xf>
    <xf numFmtId="1" fontId="15" fillId="0" borderId="1" xfId="9"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5" fillId="0" borderId="33" xfId="0" applyNumberFormat="1" applyFont="1" applyFill="1" applyBorder="1" applyAlignment="1">
      <alignment horizontal="left" vertical="center" wrapText="1"/>
    </xf>
    <xf numFmtId="1" fontId="15" fillId="0" borderId="33" xfId="9" applyNumberFormat="1" applyFont="1" applyFill="1" applyBorder="1" applyAlignment="1">
      <alignment horizontal="center" vertical="center" wrapText="1"/>
    </xf>
    <xf numFmtId="3" fontId="15" fillId="0" borderId="33" xfId="0" applyNumberFormat="1" applyFont="1" applyFill="1" applyBorder="1" applyAlignment="1" applyProtection="1">
      <alignment horizontal="center" vertical="center"/>
      <protection locked="0"/>
    </xf>
    <xf numFmtId="3" fontId="15" fillId="0" borderId="17" xfId="13" applyNumberFormat="1" applyFont="1" applyFill="1" applyBorder="1" applyAlignment="1" applyProtection="1">
      <alignment horizontal="center" vertical="center" wrapText="1"/>
    </xf>
    <xf numFmtId="10" fontId="15" fillId="0" borderId="1" xfId="12" applyNumberFormat="1" applyFont="1" applyFill="1" applyBorder="1" applyAlignment="1">
      <alignment horizontal="center" vertical="center"/>
    </xf>
    <xf numFmtId="3" fontId="15" fillId="0" borderId="1" xfId="12"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4" fontId="15" fillId="0" borderId="3" xfId="13"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49" fontId="15" fillId="0" borderId="8" xfId="0" applyNumberFormat="1" applyFont="1" applyFill="1" applyBorder="1" applyAlignment="1">
      <alignment horizontal="left" vertical="top" wrapText="1"/>
    </xf>
    <xf numFmtId="10" fontId="15" fillId="0" borderId="28" xfId="0" applyNumberFormat="1" applyFont="1" applyFill="1" applyBorder="1" applyAlignment="1">
      <alignment horizontal="center" vertical="center" wrapText="1"/>
    </xf>
    <xf numFmtId="1" fontId="15" fillId="0" borderId="8" xfId="9" applyNumberFormat="1" applyFont="1" applyFill="1" applyBorder="1" applyAlignment="1">
      <alignment horizontal="left" vertical="center" wrapText="1"/>
    </xf>
    <xf numFmtId="0" fontId="15" fillId="0" borderId="8" xfId="0"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0" fontId="15" fillId="0" borderId="1" xfId="6" applyFont="1" applyFill="1" applyBorder="1" applyAlignment="1" applyProtection="1">
      <alignment horizontal="center" vertical="center" wrapText="1"/>
      <protection locked="0"/>
    </xf>
    <xf numFmtId="1" fontId="15" fillId="0" borderId="8" xfId="9" applyNumberFormat="1" applyFont="1" applyFill="1" applyBorder="1" applyAlignment="1">
      <alignment horizontal="left" vertical="center"/>
    </xf>
    <xf numFmtId="0" fontId="15" fillId="0" borderId="30" xfId="0" applyFont="1" applyFill="1" applyBorder="1" applyAlignment="1">
      <alignment horizontal="left" vertical="center" wrapText="1"/>
    </xf>
    <xf numFmtId="0" fontId="15" fillId="0" borderId="30" xfId="0" applyFont="1" applyFill="1" applyBorder="1" applyAlignment="1">
      <alignment horizontal="center" vertical="center" wrapText="1"/>
    </xf>
    <xf numFmtId="1" fontId="15" fillId="0" borderId="30" xfId="0" applyNumberFormat="1" applyFont="1" applyFill="1" applyBorder="1" applyAlignment="1">
      <alignment horizontal="center" vertical="center" wrapText="1"/>
    </xf>
    <xf numFmtId="4" fontId="15" fillId="0" borderId="30" xfId="4" applyNumberFormat="1" applyFont="1" applyFill="1" applyBorder="1" applyAlignment="1">
      <alignment horizontal="center" vertical="center" wrapText="1"/>
    </xf>
    <xf numFmtId="10" fontId="15" fillId="0" borderId="30" xfId="11" applyNumberFormat="1" applyFont="1" applyFill="1" applyBorder="1" applyAlignment="1" applyProtection="1">
      <alignment horizontal="center" vertical="center"/>
    </xf>
    <xf numFmtId="10" fontId="15" fillId="0" borderId="30" xfId="0" applyNumberFormat="1" applyFont="1" applyFill="1" applyBorder="1" applyAlignment="1">
      <alignment horizontal="center" vertical="center" wrapText="1"/>
    </xf>
    <xf numFmtId="49" fontId="15" fillId="0" borderId="30" xfId="0" applyNumberFormat="1" applyFont="1" applyFill="1" applyBorder="1" applyAlignment="1">
      <alignment horizontal="center" vertical="center" wrapText="1"/>
    </xf>
    <xf numFmtId="3" fontId="15" fillId="0" borderId="34" xfId="13" applyNumberFormat="1" applyFont="1" applyFill="1" applyBorder="1" applyAlignment="1" applyProtection="1">
      <alignment horizontal="center" vertical="center" wrapText="1"/>
    </xf>
    <xf numFmtId="10" fontId="15" fillId="0" borderId="30" xfId="11" applyNumberFormat="1" applyFont="1" applyFill="1" applyBorder="1" applyAlignment="1">
      <alignment horizontal="center" vertical="center"/>
    </xf>
    <xf numFmtId="10" fontId="15" fillId="0" borderId="30" xfId="0" applyNumberFormat="1" applyFont="1" applyFill="1" applyBorder="1" applyAlignment="1">
      <alignment horizontal="center" vertical="center"/>
    </xf>
    <xf numFmtId="0" fontId="15" fillId="0" borderId="1" xfId="0" applyFont="1" applyFill="1" applyBorder="1" applyAlignment="1">
      <alignment vertical="center" wrapText="1"/>
    </xf>
    <xf numFmtId="3" fontId="3" fillId="0" borderId="3" xfId="0" applyNumberFormat="1" applyFont="1" applyFill="1" applyBorder="1" applyAlignment="1">
      <alignment horizontal="center" vertical="center" wrapText="1"/>
    </xf>
    <xf numFmtId="0" fontId="3" fillId="0" borderId="8" xfId="12" applyFont="1" applyFill="1" applyBorder="1" applyAlignment="1">
      <alignment horizontal="left" vertical="center" wrapText="1"/>
    </xf>
    <xf numFmtId="49" fontId="3" fillId="0" borderId="8" xfId="0" applyNumberFormat="1" applyFont="1" applyFill="1" applyBorder="1" applyAlignment="1" applyProtection="1">
      <alignment horizontal="left" vertical="center" wrapText="1"/>
      <protection locked="0"/>
    </xf>
    <xf numFmtId="0" fontId="15" fillId="0" borderId="9" xfId="0" applyFont="1" applyFill="1" applyBorder="1" applyAlignment="1">
      <alignment horizontal="left" vertical="center" wrapText="1"/>
    </xf>
    <xf numFmtId="0" fontId="15" fillId="0" borderId="9" xfId="0" applyFont="1" applyFill="1" applyBorder="1" applyAlignment="1">
      <alignment horizontal="center" vertical="center"/>
    </xf>
    <xf numFmtId="49" fontId="15" fillId="0" borderId="9"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1" fontId="15" fillId="0" borderId="9" xfId="0"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xf>
    <xf numFmtId="10" fontId="15" fillId="0" borderId="9" xfId="12" applyNumberFormat="1" applyFont="1" applyFill="1" applyBorder="1" applyAlignment="1">
      <alignment horizontal="center" vertical="center"/>
    </xf>
    <xf numFmtId="3" fontId="15" fillId="0" borderId="9" xfId="12" applyNumberFormat="1" applyFont="1" applyFill="1" applyBorder="1" applyAlignment="1">
      <alignment horizontal="center" vertical="center"/>
    </xf>
    <xf numFmtId="3" fontId="15" fillId="0" borderId="9" xfId="0" applyNumberFormat="1" applyFont="1" applyFill="1" applyBorder="1" applyAlignment="1">
      <alignment horizontal="center" vertical="center"/>
    </xf>
    <xf numFmtId="0" fontId="15" fillId="0" borderId="9" xfId="12" applyFont="1" applyFill="1" applyBorder="1" applyAlignment="1">
      <alignment horizontal="center" vertical="center" wrapText="1"/>
    </xf>
    <xf numFmtId="3" fontId="15" fillId="0" borderId="40" xfId="0" applyNumberFormat="1" applyFont="1" applyFill="1" applyBorder="1" applyAlignment="1">
      <alignment horizontal="center" vertical="center" wrapText="1"/>
    </xf>
    <xf numFmtId="49" fontId="3" fillId="0" borderId="41" xfId="0" applyNumberFormat="1" applyFont="1" applyFill="1" applyBorder="1" applyAlignment="1">
      <alignment horizontal="left" vertical="center" wrapText="1"/>
    </xf>
    <xf numFmtId="0" fontId="18" fillId="2" borderId="0" xfId="0" applyFont="1" applyFill="1" applyBorder="1" applyAlignment="1">
      <alignment horizontal="center" vertical="center"/>
    </xf>
    <xf numFmtId="4" fontId="18" fillId="2" borderId="0" xfId="0" applyNumberFormat="1" applyFont="1" applyFill="1" applyBorder="1" applyAlignment="1">
      <alignment horizontal="center" vertical="center"/>
    </xf>
    <xf numFmtId="3" fontId="18"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15" fillId="2" borderId="0" xfId="0" applyNumberFormat="1" applyFont="1" applyFill="1" applyBorder="1" applyAlignment="1">
      <alignment horizontal="center" vertical="center" wrapText="1"/>
    </xf>
    <xf numFmtId="49" fontId="3" fillId="2" borderId="0" xfId="0" applyNumberFormat="1" applyFont="1" applyFill="1" applyBorder="1" applyAlignment="1">
      <alignment horizontal="left" vertical="center" wrapText="1"/>
    </xf>
    <xf numFmtId="0" fontId="33" fillId="0" borderId="0" xfId="0" applyFont="1" applyFill="1" applyBorder="1" applyAlignment="1">
      <alignment horizontal="center" vertical="center"/>
    </xf>
    <xf numFmtId="0" fontId="35" fillId="2" borderId="0" xfId="0" applyFont="1" applyFill="1" applyBorder="1" applyAlignment="1">
      <alignment horizontal="center" vertical="center"/>
    </xf>
    <xf numFmtId="49" fontId="35" fillId="2" borderId="0" xfId="0" applyNumberFormat="1" applyFont="1" applyFill="1" applyBorder="1" applyAlignment="1">
      <alignment horizontal="center" vertical="center" wrapText="1"/>
    </xf>
    <xf numFmtId="49" fontId="13" fillId="2" borderId="0" xfId="0" applyNumberFormat="1" applyFont="1" applyFill="1" applyBorder="1" applyAlignment="1">
      <alignment horizontal="left" vertical="center" wrapText="1"/>
    </xf>
    <xf numFmtId="3" fontId="35"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0" fontId="35" fillId="0" borderId="0" xfId="0" applyNumberFormat="1" applyFont="1" applyFill="1" applyBorder="1" applyAlignment="1">
      <alignment horizontal="center" vertical="center"/>
    </xf>
    <xf numFmtId="10" fontId="35" fillId="0" borderId="0" xfId="0" applyNumberFormat="1" applyFont="1" applyFill="1" applyBorder="1" applyAlignment="1">
      <alignment horizontal="right" vertical="center"/>
    </xf>
    <xf numFmtId="3" fontId="35" fillId="0" borderId="0" xfId="0" applyNumberFormat="1" applyFont="1" applyFill="1" applyBorder="1" applyAlignment="1">
      <alignment vertical="center"/>
    </xf>
    <xf numFmtId="0" fontId="35" fillId="0" borderId="0" xfId="0"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top"/>
    </xf>
    <xf numFmtId="0" fontId="4" fillId="2" borderId="0" xfId="0" applyFont="1" applyFill="1" applyAlignment="1">
      <alignment horizontal="center"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Alignment="1">
      <alignment vertical="center"/>
    </xf>
    <xf numFmtId="0" fontId="4" fillId="0" borderId="0" xfId="21" applyFont="1"/>
    <xf numFmtId="0" fontId="36" fillId="0" borderId="0" xfId="0" applyFont="1" applyAlignment="1">
      <alignment vertical="center"/>
    </xf>
    <xf numFmtId="0" fontId="36" fillId="0" borderId="0" xfId="21" applyFont="1"/>
    <xf numFmtId="0" fontId="4" fillId="0" borderId="0" xfId="0" applyFont="1" applyFill="1" applyAlignment="1">
      <alignment horizontal="center" vertical="center"/>
    </xf>
    <xf numFmtId="4" fontId="35" fillId="2" borderId="0" xfId="0" applyNumberFormat="1" applyFont="1" applyFill="1" applyBorder="1" applyAlignment="1">
      <alignment horizontal="center" vertical="center"/>
    </xf>
    <xf numFmtId="3" fontId="35" fillId="2" borderId="0" xfId="0" applyNumberFormat="1" applyFont="1" applyFill="1" applyBorder="1" applyAlignment="1">
      <alignment horizontal="center" vertical="center"/>
    </xf>
    <xf numFmtId="0" fontId="37" fillId="0" borderId="0" xfId="17" applyFont="1" applyFill="1" applyAlignment="1">
      <alignment vertical="center"/>
    </xf>
    <xf numFmtId="0" fontId="2" fillId="0" borderId="0" xfId="17" applyFont="1" applyFill="1" applyAlignment="1">
      <alignment horizontal="left" vertical="top"/>
    </xf>
    <xf numFmtId="0" fontId="4" fillId="0" borderId="0" xfId="17" applyFont="1" applyFill="1" applyAlignment="1">
      <alignment horizontal="center"/>
    </xf>
    <xf numFmtId="0" fontId="2" fillId="0" borderId="0" xfId="17" applyFont="1" applyFill="1" applyBorder="1" applyAlignment="1">
      <alignment horizontal="center"/>
    </xf>
    <xf numFmtId="10" fontId="2" fillId="0" borderId="0" xfId="17" applyNumberFormat="1" applyFont="1" applyFill="1" applyBorder="1" applyAlignment="1">
      <alignment horizontal="center" vertical="center" wrapText="1"/>
    </xf>
    <xf numFmtId="0" fontId="2" fillId="0" borderId="0" xfId="17" applyFont="1" applyFill="1" applyBorder="1" applyAlignment="1"/>
    <xf numFmtId="0" fontId="2" fillId="0" borderId="0" xfId="17" applyFont="1" applyFill="1" applyBorder="1"/>
    <xf numFmtId="0" fontId="2" fillId="0" borderId="0" xfId="17" applyFont="1" applyFill="1"/>
    <xf numFmtId="0" fontId="35"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3" fontId="13" fillId="0" borderId="0" xfId="0" applyNumberFormat="1" applyFont="1" applyFill="1" applyBorder="1" applyAlignment="1">
      <alignment horizontal="right" vertical="center"/>
    </xf>
    <xf numFmtId="0" fontId="4"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horizontal="center"/>
    </xf>
    <xf numFmtId="0" fontId="4" fillId="0" borderId="0" xfId="0" applyFont="1" applyAlignment="1">
      <alignment vertical="top"/>
    </xf>
    <xf numFmtId="0" fontId="36" fillId="0" borderId="0" xfId="0" applyFont="1" applyAlignment="1">
      <alignment vertical="center" wrapText="1"/>
    </xf>
    <xf numFmtId="49" fontId="12" fillId="2" borderId="0" xfId="0" applyNumberFormat="1" applyFont="1" applyFill="1" applyBorder="1" applyAlignment="1">
      <alignment horizontal="left" vertical="center" wrapText="1"/>
    </xf>
    <xf numFmtId="49" fontId="3" fillId="0" borderId="33" xfId="5" applyNumberFormat="1" applyFont="1" applyFill="1" applyBorder="1" applyAlignment="1">
      <alignment horizontal="left" vertical="center" wrapText="1"/>
    </xf>
    <xf numFmtId="14" fontId="13" fillId="0" borderId="8" xfId="0" applyNumberFormat="1" applyFont="1" applyFill="1" applyBorder="1" applyAlignment="1">
      <alignment horizontal="left" vertical="top" wrapText="1"/>
    </xf>
    <xf numFmtId="49" fontId="38" fillId="0" borderId="8" xfId="0" applyNumberFormat="1" applyFont="1" applyFill="1" applyBorder="1" applyAlignment="1">
      <alignment horizontal="left" vertical="top" wrapText="1"/>
    </xf>
    <xf numFmtId="0" fontId="24" fillId="2" borderId="0" xfId="0" applyFont="1" applyFill="1" applyBorder="1" applyAlignment="1">
      <alignment horizontal="center"/>
    </xf>
    <xf numFmtId="0" fontId="18" fillId="2" borderId="0" xfId="0" applyFont="1" applyFill="1" applyBorder="1" applyAlignment="1">
      <alignment horizontal="center"/>
    </xf>
    <xf numFmtId="0" fontId="24" fillId="3" borderId="0" xfId="0" applyFont="1" applyFill="1" applyBorder="1" applyAlignment="1">
      <alignment horizontal="center"/>
    </xf>
    <xf numFmtId="0" fontId="7" fillId="0" borderId="0" xfId="0" applyFont="1" applyFill="1" applyBorder="1" applyAlignment="1">
      <alignment horizontal="left"/>
    </xf>
    <xf numFmtId="0" fontId="18" fillId="2" borderId="4" xfId="0" applyFont="1" applyFill="1" applyBorder="1" applyAlignment="1">
      <alignment horizontal="center" vertical="center" wrapText="1"/>
    </xf>
    <xf numFmtId="0" fontId="18" fillId="2" borderId="7" xfId="0" applyFont="1" applyFill="1" applyBorder="1" applyAlignment="1">
      <alignment horizontal="center" vertical="center" wrapText="1"/>
    </xf>
    <xf numFmtId="49" fontId="18" fillId="2" borderId="5"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30" xfId="0" applyFont="1" applyFill="1" applyBorder="1" applyAlignment="1">
      <alignment horizontal="center" vertical="center" wrapText="1"/>
    </xf>
    <xf numFmtId="1" fontId="18" fillId="2" borderId="5"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4" fontId="18" fillId="2" borderId="5" xfId="0" applyNumberFormat="1"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10" fontId="18" fillId="2" borderId="5" xfId="0" applyNumberFormat="1" applyFont="1" applyFill="1" applyBorder="1" applyAlignment="1">
      <alignment horizontal="center" vertical="center" wrapText="1"/>
    </xf>
    <xf numFmtId="10" fontId="18" fillId="2" borderId="1" xfId="0" applyNumberFormat="1" applyFont="1" applyFill="1" applyBorder="1" applyAlignment="1">
      <alignment horizontal="center" vertical="center" wrapText="1"/>
    </xf>
    <xf numFmtId="3" fontId="18" fillId="2" borderId="26" xfId="0" applyNumberFormat="1" applyFont="1" applyFill="1" applyBorder="1" applyAlignment="1">
      <alignment horizontal="center" vertical="center" wrapText="1"/>
    </xf>
    <xf numFmtId="3" fontId="7" fillId="0" borderId="21" xfId="0" applyNumberFormat="1" applyFont="1" applyFill="1" applyBorder="1" applyAlignment="1">
      <alignment horizontal="left" vertical="center" wrapText="1"/>
    </xf>
    <xf numFmtId="49" fontId="18" fillId="2" borderId="37" xfId="0" applyNumberFormat="1" applyFont="1" applyFill="1" applyBorder="1" applyAlignment="1">
      <alignment horizontal="center" vertical="center" wrapText="1"/>
    </xf>
    <xf numFmtId="49" fontId="18" fillId="2" borderId="38" xfId="0" applyNumberFormat="1" applyFont="1" applyFill="1" applyBorder="1" applyAlignment="1">
      <alignment horizontal="center" vertical="center" wrapText="1"/>
    </xf>
    <xf numFmtId="3" fontId="3" fillId="0" borderId="0" xfId="0" applyNumberFormat="1" applyFont="1" applyFill="1" applyAlignment="1">
      <alignment horizontal="left"/>
    </xf>
    <xf numFmtId="3" fontId="13" fillId="2" borderId="0" xfId="0" applyNumberFormat="1" applyFont="1" applyFill="1" applyAlignment="1">
      <alignment horizontal="center"/>
    </xf>
    <xf numFmtId="4" fontId="13" fillId="2" borderId="0" xfId="0" applyNumberFormat="1" applyFont="1" applyFill="1" applyAlignment="1">
      <alignment horizontal="center" wrapText="1"/>
    </xf>
    <xf numFmtId="0" fontId="12" fillId="2" borderId="3" xfId="0" applyFont="1" applyFill="1" applyBorder="1" applyAlignment="1">
      <alignment horizontal="center"/>
    </xf>
    <xf numFmtId="0" fontId="12" fillId="2" borderId="27" xfId="0" applyFont="1" applyFill="1" applyBorder="1" applyAlignment="1">
      <alignment horizontal="center"/>
    </xf>
    <xf numFmtId="0" fontId="12" fillId="2" borderId="2" xfId="0" applyFont="1" applyFill="1" applyBorder="1" applyAlignment="1">
      <alignment horizontal="center"/>
    </xf>
    <xf numFmtId="3" fontId="18" fillId="2" borderId="5"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2" borderId="32" xfId="0" applyNumberFormat="1" applyFont="1" applyFill="1" applyBorder="1" applyAlignment="1">
      <alignment horizontal="center" vertical="center" wrapText="1"/>
    </xf>
    <xf numFmtId="3" fontId="18" fillId="2" borderId="30" xfId="0" applyNumberFormat="1" applyFont="1" applyFill="1" applyBorder="1" applyAlignment="1">
      <alignment horizontal="center" vertical="center" wrapText="1"/>
    </xf>
    <xf numFmtId="0" fontId="2" fillId="0" borderId="0" xfId="17" applyFont="1" applyFill="1" applyAlignment="1">
      <alignment horizontal="left" vertical="top" wrapText="1"/>
    </xf>
    <xf numFmtId="0" fontId="4" fillId="0" borderId="0" xfId="0" applyFont="1" applyAlignment="1">
      <alignment vertical="top" wrapText="1"/>
    </xf>
    <xf numFmtId="0" fontId="4" fillId="0" borderId="0" xfId="0" applyFont="1" applyAlignment="1">
      <alignment wrapText="1"/>
    </xf>
  </cellXfs>
  <cellStyles count="22">
    <cellStyle name="Comma" xfId="13" builtinId="3"/>
    <cellStyle name="Comma 2" xfId="20"/>
    <cellStyle name="Excel Built-in Excel Built-in Excel Built-in Excel Built-in Excel Built-in Excel Built-in Excel Bui" xfId="1"/>
    <cellStyle name="Excel Built-in Excel Built-in Excel Built-in Excel Built-in Excel Built-in Excel Built-in Excel Built-in Excel " xfId="2"/>
    <cellStyle name="Excel Built-in Excel Built-in Excel Built-in Excel Built-in Excel Built-in Excel Built-in Excel Built-in Excel Bui" xfId="3"/>
    <cellStyle name="Excel Built-in Excel Built-in Excel Built-in Excel Built-in Excel Built-in Excel Built-in Excel Built-in Excel Buil" xfId="4"/>
    <cellStyle name="Excel Built-in Excel Built-in Excel Built-in Excel Built-in Excel Built-in Excel Built-in Excel Built-in Excel Built-in Excel Built-in Excel Built-in Excel Built-in Excel Built-in Excel Bui" xfId="5"/>
    <cellStyle name="Excel Built-in Excel Built-in Excel Built-in Excel Built-in Excel Built-in Excel Built-in Excel Built-in Excel Built-in Excel Built-in Excel Built-in Excel Built-in Excel Built-in Excel Built-in Excel Built-in Excel Built-in Excel Built-in Excel" xfId="6"/>
    <cellStyle name="Normal" xfId="0" builtinId="0"/>
    <cellStyle name="Normal 10" xfId="14"/>
    <cellStyle name="Normal 2" xfId="17"/>
    <cellStyle name="Normal 2 2" xfId="7"/>
    <cellStyle name="Normal 3" xfId="8"/>
    <cellStyle name="Normal 4" xfId="18"/>
    <cellStyle name="Normal 8" xfId="16"/>
    <cellStyle name="Normal_Datorii la 31 12 2011_Formular 29 - PARTEA II (sept)" xfId="15"/>
    <cellStyle name="Normal_Formular 29-partea II (inv)-diminuat" xfId="9"/>
    <cellStyle name="Normal_Formular 29-partea II (inv)-diminuat 3" xfId="10"/>
    <cellStyle name="Percent" xfId="11" builtinId="5"/>
    <cellStyle name="Percent 2" xfId="19"/>
    <cellStyle name="TableStyleLight1" xfId="12"/>
    <cellStyle name="TableStyleLight1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procentuală a </a:t>
            </a:r>
            <a:r>
              <a:rPr lang="en-US"/>
              <a:t>valorii</a:t>
            </a:r>
            <a:r>
              <a:rPr lang="en-US" baseline="0"/>
              <a:t> actualizate a proiectelor de investi</a:t>
            </a:r>
            <a:r>
              <a:rPr lang="ro-RO" baseline="0"/>
              <a:t>ț</a:t>
            </a:r>
            <a:r>
              <a:rPr lang="en-US" baseline="0"/>
              <a:t>ii </a:t>
            </a:r>
            <a:r>
              <a:rPr lang="ro-RO"/>
              <a:t>pe ordonatorii principali de credite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136529619065257"/>
          <c:y val="0.32893678327528442"/>
          <c:w val="0.78317961192567676"/>
          <c:h val="0.576523628878958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549-4D7F-8D80-EB1F7E96D3D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549-4D7F-8D80-EB1F7E96D3D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549-4D7F-8D80-EB1F7E96D3D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549-4D7F-8D80-EB1F7E96D3D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549-4D7F-8D80-EB1F7E96D3D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549-4D7F-8D80-EB1F7E96D3D5}"/>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549-4D7F-8D80-EB1F7E96D3D5}"/>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549-4D7F-8D80-EB1F7E96D3D5}"/>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8549-4D7F-8D80-EB1F7E96D3D5}"/>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8549-4D7F-8D80-EB1F7E96D3D5}"/>
              </c:ext>
            </c:extLst>
          </c:dPt>
          <c:dLbls>
            <c:dLbl>
              <c:idx val="1"/>
              <c:layout>
                <c:manualLayout>
                  <c:x val="-0.1268638604119422"/>
                  <c:y val="-6.2592281110208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49-4D7F-8D80-EB1F7E96D3D5}"/>
                </c:ext>
              </c:extLst>
            </c:dLbl>
            <c:dLbl>
              <c:idx val="2"/>
              <c:layout>
                <c:manualLayout>
                  <c:x val="-0.13536157392657008"/>
                  <c:y val="1.52521550854457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49-4D7F-8D80-EB1F7E96D3D5}"/>
                </c:ext>
              </c:extLst>
            </c:dLbl>
            <c:dLbl>
              <c:idx val="3"/>
              <c:layout>
                <c:manualLayout>
                  <c:x val="-9.0035281218959082E-2"/>
                  <c:y val="-0.123330455164842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49-4D7F-8D80-EB1F7E96D3D5}"/>
                </c:ext>
              </c:extLst>
            </c:dLbl>
            <c:dLbl>
              <c:idx val="4"/>
              <c:layout>
                <c:manualLayout>
                  <c:x val="-3.0818355604700413E-2"/>
                  <c:y val="-0.141732026746389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49-4D7F-8D80-EB1F7E96D3D5}"/>
                </c:ext>
              </c:extLst>
            </c:dLbl>
            <c:dLbl>
              <c:idx val="5"/>
              <c:layout>
                <c:manualLayout>
                  <c:x val="1.6078958712071465E-2"/>
                  <c:y val="-0.13700269083366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49-4D7F-8D80-EB1F7E96D3D5}"/>
                </c:ext>
              </c:extLst>
            </c:dLbl>
            <c:dLbl>
              <c:idx val="6"/>
              <c:layout>
                <c:manualLayout>
                  <c:x val="8.8641368517720268E-2"/>
                  <c:y val="-0.13939314739349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49-4D7F-8D80-EB1F7E96D3D5}"/>
                </c:ext>
              </c:extLst>
            </c:dLbl>
            <c:dLbl>
              <c:idx val="7"/>
              <c:layout>
                <c:manualLayout>
                  <c:x val="0.14480691380699814"/>
                  <c:y val="-6.0969336147898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549-4D7F-8D80-EB1F7E96D3D5}"/>
                </c:ext>
              </c:extLst>
            </c:dLbl>
            <c:dLbl>
              <c:idx val="8"/>
              <c:layout>
                <c:manualLayout>
                  <c:x val="0.14415212624397925"/>
                  <c:y val="-2.33219836754131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549-4D7F-8D80-EB1F7E96D3D5}"/>
                </c:ext>
              </c:extLst>
            </c:dLbl>
            <c:dLbl>
              <c:idx val="9"/>
              <c:layout>
                <c:manualLayout>
                  <c:x val="0.13791934516558266"/>
                  <c:y val="-0.120085901437293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549-4D7F-8D80-EB1F7E96D3D5}"/>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'anexa fara 100%'!$M$185:$M$193</c:f>
            </c:multiLvlStrRef>
          </c:cat>
          <c:val>
            <c:numRef>
              <c:f>'anexa fara 100%'!$N$185:$N$193</c:f>
            </c:numRef>
          </c:val>
          <c:extLst>
            <c:ext xmlns:c16="http://schemas.microsoft.com/office/drawing/2014/chart" uri="{C3380CC4-5D6E-409C-BE32-E72D297353CC}">
              <c16:uniqueId val="{00000014-8549-4D7F-8D80-EB1F7E96D3D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433691924208632"/>
          <c:y val="0.88315223854431479"/>
          <c:w val="0.71892980302490772"/>
          <c:h val="0.110059880335535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procentuală a restului de finanțat până la finalizare pe ordonatori principali de credite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218965291152003"/>
          <c:y val="0.29797357834490279"/>
          <c:w val="0.78531037718299601"/>
          <c:h val="0.5855455018464701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7B5-465F-9BBB-CF2F6E61221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7B5-465F-9BBB-CF2F6E61221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7B5-465F-9BBB-CF2F6E61221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7B5-465F-9BBB-CF2F6E61221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D7B5-465F-9BBB-CF2F6E61221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D7B5-465F-9BBB-CF2F6E61221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D7B5-465F-9BBB-CF2F6E61221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D7B5-465F-9BBB-CF2F6E61221C}"/>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D7B5-465F-9BBB-CF2F6E61221C}"/>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D7B5-465F-9BBB-CF2F6E61221C}"/>
              </c:ext>
            </c:extLst>
          </c:dPt>
          <c:dLbls>
            <c:dLbl>
              <c:idx val="1"/>
              <c:layout>
                <c:manualLayout>
                  <c:x val="-0.13071099218466345"/>
                  <c:y val="2.4818781676532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B5-465F-9BBB-CF2F6E61221C}"/>
                </c:ext>
              </c:extLst>
            </c:dLbl>
            <c:dLbl>
              <c:idx val="2"/>
              <c:layout>
                <c:manualLayout>
                  <c:x val="-0.17142467092167243"/>
                  <c:y val="-3.0108704063979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7B5-465F-9BBB-CF2F6E61221C}"/>
                </c:ext>
              </c:extLst>
            </c:dLbl>
            <c:dLbl>
              <c:idx val="3"/>
              <c:layout>
                <c:manualLayout>
                  <c:x val="-0.15476536956155659"/>
                  <c:y val="-8.22124977782666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7B5-465F-9BBB-CF2F6E61221C}"/>
                </c:ext>
              </c:extLst>
            </c:dLbl>
            <c:dLbl>
              <c:idx val="4"/>
              <c:layout>
                <c:manualLayout>
                  <c:x val="-0.10622662042422225"/>
                  <c:y val="-0.10251637704523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7B5-465F-9BBB-CF2F6E61221C}"/>
                </c:ext>
              </c:extLst>
            </c:dLbl>
            <c:dLbl>
              <c:idx val="5"/>
              <c:layout>
                <c:manualLayout>
                  <c:x val="-6.5925901771469786E-2"/>
                  <c:y val="-0.11934570625041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B5-465F-9BBB-CF2F6E61221C}"/>
                </c:ext>
              </c:extLst>
            </c:dLbl>
            <c:dLbl>
              <c:idx val="6"/>
              <c:layout>
                <c:manualLayout>
                  <c:x val="0.13656105725568679"/>
                  <c:y val="-0.106023243228992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7B5-465F-9BBB-CF2F6E61221C}"/>
                </c:ext>
              </c:extLst>
            </c:dLbl>
            <c:dLbl>
              <c:idx val="7"/>
              <c:layout>
                <c:manualLayout>
                  <c:x val="0.16835387345365063"/>
                  <c:y val="-6.266436220589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7B5-465F-9BBB-CF2F6E61221C}"/>
                </c:ext>
              </c:extLst>
            </c:dLbl>
            <c:dLbl>
              <c:idx val="8"/>
              <c:layout>
                <c:manualLayout>
                  <c:x val="0.19160471859824266"/>
                  <c:y val="2.9858395856052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7B5-465F-9BBB-CF2F6E61221C}"/>
                </c:ext>
              </c:extLst>
            </c:dLbl>
            <c:dLbl>
              <c:idx val="9"/>
              <c:layout>
                <c:manualLayout>
                  <c:x val="1.9172103852769143E-2"/>
                  <c:y val="-0.127557402929031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7B5-465F-9BBB-CF2F6E61221C}"/>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'anexa fara 100%'!$M$185:$M$193</c:f>
            </c:multiLvlStrRef>
          </c:cat>
          <c:val>
            <c:numRef>
              <c:f>'anexa fara 100%'!$O$185:$O$193</c:f>
            </c:numRef>
          </c:val>
          <c:extLst>
            <c:ext xmlns:c16="http://schemas.microsoft.com/office/drawing/2014/chart" uri="{C3380CC4-5D6E-409C-BE32-E72D297353CC}">
              <c16:uniqueId val="{00000014-D7B5-465F-9BBB-CF2F6E61221C}"/>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sz="1000"/>
              <a:t>Distribuția proiectelor de investiții publice semnificative cu stadiul fizic de execuție de 0% pe ordonatorii principali de credite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25203178285624234"/>
          <c:w val="1"/>
          <c:h val="0.6228928556375904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F4B-4D4B-B453-7957DE07CFA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F4B-4D4B-B453-7957DE07CFA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F4B-4D4B-B453-7957DE07CFA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F4B-4D4B-B453-7957DE07CFA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F4B-4D4B-B453-7957DE07CFA0}"/>
              </c:ext>
            </c:extLst>
          </c:dPt>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('anexa fara 100%'!$C$172,'anexa fara 100%'!$C$173,'anexa fara 100%'!$C$175,'anexa fara 100%'!$C$176,'anexa fara 100%'!$C$180)</c:f>
            </c:multiLvlStrRef>
          </c:cat>
          <c:val>
            <c:numRef>
              <c:f>('anexa fara 100%'!$F$172,'anexa fara 100%'!$F$173,'anexa fara 100%'!$F$175,'anexa fara 100%'!$F$176,'anexa fara 100%'!$F$180)</c:f>
            </c:numRef>
          </c:val>
          <c:extLst>
            <c:ext xmlns:c16="http://schemas.microsoft.com/office/drawing/2014/chart" uri="{C3380CC4-5D6E-409C-BE32-E72D297353CC}">
              <c16:uniqueId val="{0000000A-9F4B-4D4B-B453-7957DE07CFA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proiectelor de investiții publice cu un stadiu fizic de 100% pe ordonatorii principali de credite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003-46C3-B00C-DA5FA36B1A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003-46C3-B00C-DA5FA36B1A1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003-46C3-B00C-DA5FA36B1A16}"/>
              </c:ext>
            </c:extLst>
          </c:dPt>
          <c:dLbls>
            <c:dLbl>
              <c:idx val="0"/>
              <c:layout>
                <c:manualLayout>
                  <c:x val="9.7898283778829198E-2"/>
                  <c:y val="-3.5301496733082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03-46C3-B00C-DA5FA36B1A16}"/>
                </c:ext>
              </c:extLst>
            </c:dLbl>
            <c:dLbl>
              <c:idx val="1"/>
              <c:layout>
                <c:manualLayout>
                  <c:x val="-8.689212074654748E-2"/>
                  <c:y val="-4.8472085728299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03-46C3-B00C-DA5FA36B1A16}"/>
                </c:ext>
              </c:extLst>
            </c:dLbl>
            <c:dLbl>
              <c:idx val="2"/>
              <c:layout>
                <c:manualLayout>
                  <c:x val="0.10340136529497017"/>
                  <c:y val="-3.20880169591125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03-46C3-B00C-DA5FA36B1A16}"/>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(#REF!,#REF!,#REF!)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(#REF!,#REF!,#REF!)</c15:sqref>
                        </c15:formulaRef>
                      </c:ext>
                    </c:extLst>
                  </c:multiLvlStrRef>
                </c15:cat>
              </c15:filteredCategoryTitle>
            </c:ext>
            <c:ext xmlns:c16="http://schemas.microsoft.com/office/drawing/2014/chart" uri="{C3380CC4-5D6E-409C-BE32-E72D297353CC}">
              <c16:uniqueId val="{00000006-B003-46C3-B00C-DA5FA36B1A1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procentuală a </a:t>
            </a:r>
            <a:r>
              <a:rPr lang="en-US"/>
              <a:t>valorii</a:t>
            </a:r>
            <a:r>
              <a:rPr lang="en-US" baseline="0"/>
              <a:t> actualizate a proiectelor de investi</a:t>
            </a:r>
            <a:r>
              <a:rPr lang="ro-RO" baseline="0"/>
              <a:t>ț</a:t>
            </a:r>
            <a:r>
              <a:rPr lang="en-US" baseline="0"/>
              <a:t>ii </a:t>
            </a:r>
            <a:r>
              <a:rPr lang="ro-RO"/>
              <a:t>pe ordonatorii principali de credite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136529619065257"/>
          <c:y val="0.32893678327528442"/>
          <c:w val="0.78317961192567676"/>
          <c:h val="0.576523628878958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686-4EC1-9F65-E0D18DE0C8D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686-4EC1-9F65-E0D18DE0C8D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686-4EC1-9F65-E0D18DE0C8D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686-4EC1-9F65-E0D18DE0C8D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F686-4EC1-9F65-E0D18DE0C8D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F686-4EC1-9F65-E0D18DE0C8D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686-4EC1-9F65-E0D18DE0C8D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686-4EC1-9F65-E0D18DE0C8DC}"/>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F686-4EC1-9F65-E0D18DE0C8DC}"/>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F686-4EC1-9F65-E0D18DE0C8DC}"/>
              </c:ext>
            </c:extLst>
          </c:dPt>
          <c:dLbls>
            <c:dLbl>
              <c:idx val="1"/>
              <c:layout>
                <c:manualLayout>
                  <c:x val="-0.1268638604119422"/>
                  <c:y val="-6.2592281110208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86-4EC1-9F65-E0D18DE0C8DC}"/>
                </c:ext>
              </c:extLst>
            </c:dLbl>
            <c:dLbl>
              <c:idx val="2"/>
              <c:layout>
                <c:manualLayout>
                  <c:x val="-0.13536157392657008"/>
                  <c:y val="1.52521550854457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86-4EC1-9F65-E0D18DE0C8DC}"/>
                </c:ext>
              </c:extLst>
            </c:dLbl>
            <c:dLbl>
              <c:idx val="3"/>
              <c:layout>
                <c:manualLayout>
                  <c:x val="-9.0035281218959082E-2"/>
                  <c:y val="-0.123330455164842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86-4EC1-9F65-E0D18DE0C8DC}"/>
                </c:ext>
              </c:extLst>
            </c:dLbl>
            <c:dLbl>
              <c:idx val="4"/>
              <c:layout>
                <c:manualLayout>
                  <c:x val="-3.0818355604700413E-2"/>
                  <c:y val="-0.141732026746389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86-4EC1-9F65-E0D18DE0C8DC}"/>
                </c:ext>
              </c:extLst>
            </c:dLbl>
            <c:dLbl>
              <c:idx val="5"/>
              <c:layout>
                <c:manualLayout>
                  <c:x val="1.6078958712071465E-2"/>
                  <c:y val="-0.13700269083366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686-4EC1-9F65-E0D18DE0C8DC}"/>
                </c:ext>
              </c:extLst>
            </c:dLbl>
            <c:dLbl>
              <c:idx val="6"/>
              <c:layout>
                <c:manualLayout>
                  <c:x val="8.8641368517720268E-2"/>
                  <c:y val="-0.13939314739349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686-4EC1-9F65-E0D18DE0C8DC}"/>
                </c:ext>
              </c:extLst>
            </c:dLbl>
            <c:dLbl>
              <c:idx val="7"/>
              <c:layout>
                <c:manualLayout>
                  <c:x val="0.14480691380699814"/>
                  <c:y val="-6.0969336147898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686-4EC1-9F65-E0D18DE0C8DC}"/>
                </c:ext>
              </c:extLst>
            </c:dLbl>
            <c:dLbl>
              <c:idx val="8"/>
              <c:layout>
                <c:manualLayout>
                  <c:x val="0.14415212624397925"/>
                  <c:y val="-2.33219836754131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686-4EC1-9F65-E0D18DE0C8DC}"/>
                </c:ext>
              </c:extLst>
            </c:dLbl>
            <c:dLbl>
              <c:idx val="9"/>
              <c:layout>
                <c:manualLayout>
                  <c:x val="0.13791934516558266"/>
                  <c:y val="-0.120085901437293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686-4EC1-9F65-E0D18DE0C8DC}"/>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'100%'!$M$79:$M$87</c:f>
            </c:multiLvlStrRef>
          </c:cat>
          <c:val>
            <c:numRef>
              <c:f>'100%'!$N$79:$N$87</c:f>
            </c:numRef>
          </c:val>
          <c:extLst>
            <c:ext xmlns:c16="http://schemas.microsoft.com/office/drawing/2014/chart" uri="{C3380CC4-5D6E-409C-BE32-E72D297353CC}">
              <c16:uniqueId val="{00000014-F686-4EC1-9F65-E0D18DE0C8D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433691924208632"/>
          <c:y val="0.88315223854431479"/>
          <c:w val="0.71892980302490772"/>
          <c:h val="0.110059880335535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procentuală a restului de finanțat până la finalizare pe ordonatori principali de credite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218965291152003"/>
          <c:y val="0.29797357834490279"/>
          <c:w val="0.78531037718299601"/>
          <c:h val="0.5855455018464701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970-44CC-AA60-8CBF29C41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970-44CC-AA60-8CBF29C41D3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970-44CC-AA60-8CBF29C41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970-44CC-AA60-8CBF29C41D3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1970-44CC-AA60-8CBF29C41D3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1970-44CC-AA60-8CBF29C41D3A}"/>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1970-44CC-AA60-8CBF29C41D3A}"/>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1970-44CC-AA60-8CBF29C41D3A}"/>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1970-44CC-AA60-8CBF29C41D3A}"/>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1970-44CC-AA60-8CBF29C41D3A}"/>
              </c:ext>
            </c:extLst>
          </c:dPt>
          <c:dLbls>
            <c:dLbl>
              <c:idx val="1"/>
              <c:layout>
                <c:manualLayout>
                  <c:x val="-0.13071099218466345"/>
                  <c:y val="2.4818781676532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70-44CC-AA60-8CBF29C41D3A}"/>
                </c:ext>
              </c:extLst>
            </c:dLbl>
            <c:dLbl>
              <c:idx val="2"/>
              <c:layout>
                <c:manualLayout>
                  <c:x val="-0.17142467092167243"/>
                  <c:y val="-3.0108704063979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70-44CC-AA60-8CBF29C41D3A}"/>
                </c:ext>
              </c:extLst>
            </c:dLbl>
            <c:dLbl>
              <c:idx val="3"/>
              <c:layout>
                <c:manualLayout>
                  <c:x val="-0.15476536956155659"/>
                  <c:y val="-8.22124977782666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70-44CC-AA60-8CBF29C41D3A}"/>
                </c:ext>
              </c:extLst>
            </c:dLbl>
            <c:dLbl>
              <c:idx val="4"/>
              <c:layout>
                <c:manualLayout>
                  <c:x val="-0.10622662042422225"/>
                  <c:y val="-0.10251637704523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70-44CC-AA60-8CBF29C41D3A}"/>
                </c:ext>
              </c:extLst>
            </c:dLbl>
            <c:dLbl>
              <c:idx val="5"/>
              <c:layout>
                <c:manualLayout>
                  <c:x val="-6.5925901771469786E-2"/>
                  <c:y val="-0.11934570625041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70-44CC-AA60-8CBF29C41D3A}"/>
                </c:ext>
              </c:extLst>
            </c:dLbl>
            <c:dLbl>
              <c:idx val="6"/>
              <c:layout>
                <c:manualLayout>
                  <c:x val="0.13656105725568679"/>
                  <c:y val="-0.106023243228992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970-44CC-AA60-8CBF29C41D3A}"/>
                </c:ext>
              </c:extLst>
            </c:dLbl>
            <c:dLbl>
              <c:idx val="7"/>
              <c:layout>
                <c:manualLayout>
                  <c:x val="0.16835387345365063"/>
                  <c:y val="-6.266436220589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970-44CC-AA60-8CBF29C41D3A}"/>
                </c:ext>
              </c:extLst>
            </c:dLbl>
            <c:dLbl>
              <c:idx val="8"/>
              <c:layout>
                <c:manualLayout>
                  <c:x val="0.19160471859824266"/>
                  <c:y val="2.9858395856052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970-44CC-AA60-8CBF29C41D3A}"/>
                </c:ext>
              </c:extLst>
            </c:dLbl>
            <c:dLbl>
              <c:idx val="9"/>
              <c:layout>
                <c:manualLayout>
                  <c:x val="1.9172103852769143E-2"/>
                  <c:y val="-0.127557402929031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970-44CC-AA60-8CBF29C41D3A}"/>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'100%'!$M$79:$M$87</c:f>
            </c:multiLvlStrRef>
          </c:cat>
          <c:val>
            <c:numRef>
              <c:f>'100%'!$O$79:$O$87</c:f>
            </c:numRef>
          </c:val>
          <c:extLst>
            <c:ext xmlns:c16="http://schemas.microsoft.com/office/drawing/2014/chart" uri="{C3380CC4-5D6E-409C-BE32-E72D297353CC}">
              <c16:uniqueId val="{00000014-1970-44CC-AA60-8CBF29C41D3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sz="1000"/>
              <a:t>Distribuția proiectelor de investiții publice semnificative cu stadiul fizic de execuție de 0% pe ordonatorii principali de credite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25203178285624234"/>
          <c:w val="1"/>
          <c:h val="0.6228928556375904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C0E-442D-8B79-5BA3316C6C4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C0E-442D-8B79-5BA3316C6C4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C0E-442D-8B79-5BA3316C6C4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C0E-442D-8B79-5BA3316C6C4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C0E-442D-8B79-5BA3316C6C4F}"/>
              </c:ext>
            </c:extLst>
          </c:dPt>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('100%'!$C$66,'100%'!$C$67,'100%'!$C$69,'100%'!$C$70,'100%'!$C$74)</c:f>
            </c:multiLvlStrRef>
          </c:cat>
          <c:val>
            <c:numRef>
              <c:f>('100%'!$F$66,'100%'!$F$67,'100%'!$F$69,'100%'!$F$70,'100%'!$F$74)</c:f>
            </c:numRef>
          </c:val>
          <c:extLst>
            <c:ext xmlns:c16="http://schemas.microsoft.com/office/drawing/2014/chart" uri="{C3380CC4-5D6E-409C-BE32-E72D297353CC}">
              <c16:uniqueId val="{0000000A-AC0E-442D-8B79-5BA3316C6C4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ro-RO"/>
              <a:t>Distribuția proiectelor de investiții publice cu un stadiu fizic de 100% pe ordonatorii principali de credite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19F-47E1-89CD-E0484B88515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19F-47E1-89CD-E0484B88515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19F-47E1-89CD-E0484B88515C}"/>
              </c:ext>
            </c:extLst>
          </c:dPt>
          <c:dLbls>
            <c:dLbl>
              <c:idx val="0"/>
              <c:layout>
                <c:manualLayout>
                  <c:x val="9.7898283778829198E-2"/>
                  <c:y val="-3.5301496733082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9F-47E1-89CD-E0484B88515C}"/>
                </c:ext>
              </c:extLst>
            </c:dLbl>
            <c:dLbl>
              <c:idx val="1"/>
              <c:layout>
                <c:manualLayout>
                  <c:x val="-8.689212074654748E-2"/>
                  <c:y val="-4.8472085728299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9F-47E1-89CD-E0484B88515C}"/>
                </c:ext>
              </c:extLst>
            </c:dLbl>
            <c:dLbl>
              <c:idx val="2"/>
              <c:layout>
                <c:manualLayout>
                  <c:x val="0.10340136529497017"/>
                  <c:y val="-3.20880169591125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9F-47E1-89CD-E0484B88515C}"/>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(#REF!,#REF!,#REF!)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(#REF!,#REF!,#REF!)</c15:sqref>
                        </c15:formulaRef>
                      </c:ext>
                    </c:extLst>
                  </c:multiLvlStrRef>
                </c15:cat>
              </c15:filteredCategoryTitle>
            </c:ext>
            <c:ext xmlns:c16="http://schemas.microsoft.com/office/drawing/2014/chart" uri="{C3380CC4-5D6E-409C-BE32-E72D297353CC}">
              <c16:uniqueId val="{00000006-519F-47E1-89CD-E0484B88515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285751</xdr:colOff>
      <xdr:row>232</xdr:row>
      <xdr:rowOff>13607</xdr:rowOff>
    </xdr:from>
    <xdr:to>
      <xdr:col>2</xdr:col>
      <xdr:colOff>254454</xdr:colOff>
      <xdr:row>250</xdr:row>
      <xdr:rowOff>81642</xdr:rowOff>
    </xdr:to>
    <xdr:graphicFrame macro="">
      <xdr:nvGraphicFramePr>
        <xdr:cNvPr id="2" name="Diagramă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190501</xdr:colOff>
      <xdr:row>268</xdr:row>
      <xdr:rowOff>27213</xdr:rowOff>
    </xdr:from>
    <xdr:to>
      <xdr:col>2</xdr:col>
      <xdr:colOff>0</xdr:colOff>
      <xdr:row>285</xdr:row>
      <xdr:rowOff>85043</xdr:rowOff>
    </xdr:to>
    <xdr:graphicFrame macro="">
      <xdr:nvGraphicFramePr>
        <xdr:cNvPr id="3" name="Diagramă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212</xdr:row>
      <xdr:rowOff>0</xdr:rowOff>
    </xdr:from>
    <xdr:to>
      <xdr:col>1</xdr:col>
      <xdr:colOff>4776107</xdr:colOff>
      <xdr:row>228</xdr:row>
      <xdr:rowOff>35718</xdr:rowOff>
    </xdr:to>
    <xdr:graphicFrame macro="">
      <xdr:nvGraphicFramePr>
        <xdr:cNvPr id="4" name="Diagramă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xdr:colOff>
      <xdr:row>251</xdr:row>
      <xdr:rowOff>166687</xdr:rowOff>
    </xdr:from>
    <xdr:to>
      <xdr:col>2</xdr:col>
      <xdr:colOff>149678</xdr:colOff>
      <xdr:row>267</xdr:row>
      <xdr:rowOff>149678</xdr:rowOff>
    </xdr:to>
    <xdr:graphicFrame macro="">
      <xdr:nvGraphicFramePr>
        <xdr:cNvPr id="5" name="Diagramă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285751</xdr:colOff>
      <xdr:row>126</xdr:row>
      <xdr:rowOff>13607</xdr:rowOff>
    </xdr:from>
    <xdr:to>
      <xdr:col>2</xdr:col>
      <xdr:colOff>254454</xdr:colOff>
      <xdr:row>144</xdr:row>
      <xdr:rowOff>81642</xdr:rowOff>
    </xdr:to>
    <xdr:graphicFrame macro="">
      <xdr:nvGraphicFramePr>
        <xdr:cNvPr id="2" name="Diagramă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190501</xdr:colOff>
      <xdr:row>162</xdr:row>
      <xdr:rowOff>27213</xdr:rowOff>
    </xdr:from>
    <xdr:to>
      <xdr:col>2</xdr:col>
      <xdr:colOff>0</xdr:colOff>
      <xdr:row>179</xdr:row>
      <xdr:rowOff>85043</xdr:rowOff>
    </xdr:to>
    <xdr:graphicFrame macro="">
      <xdr:nvGraphicFramePr>
        <xdr:cNvPr id="3" name="Diagramă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106</xdr:row>
      <xdr:rowOff>0</xdr:rowOff>
    </xdr:from>
    <xdr:to>
      <xdr:col>1</xdr:col>
      <xdr:colOff>4776107</xdr:colOff>
      <xdr:row>122</xdr:row>
      <xdr:rowOff>35718</xdr:rowOff>
    </xdr:to>
    <xdr:graphicFrame macro="">
      <xdr:nvGraphicFramePr>
        <xdr:cNvPr id="4" name="Diagramă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xdr:colOff>
      <xdr:row>145</xdr:row>
      <xdr:rowOff>166687</xdr:rowOff>
    </xdr:from>
    <xdr:to>
      <xdr:col>2</xdr:col>
      <xdr:colOff>149678</xdr:colOff>
      <xdr:row>161</xdr:row>
      <xdr:rowOff>149678</xdr:rowOff>
    </xdr:to>
    <xdr:graphicFrame macro="">
      <xdr:nvGraphicFramePr>
        <xdr:cNvPr id="5" name="Diagramă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2946191\Desktop\prioritizare%202018\00%20centralizator%20si%20memo\anexe%20finale%20ministere%20pt%20verificare%20centralizator\metrorex%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52946191\Desktop\prioritizare%202018\00%20centralizator%20si%20memo\anexe%20finale%20ministere%20pt%20verificare%20centralizator\CNAIR%20anexa%203%20finala%2019%20sept%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52946191\Desktop\cnair%2020%20sep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52946191\Desktop\prioritizare%202018\00%20centralizator%20si%20memo\anexe%20finale%20ministere%20pt%20verificare%20centralizator\Anexa%203%20CFR%20-%2005%20sept%202018%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2946191\Desktop\prioritizare%202018\00%20centralizator%20si%20memo\anexe%20finale%20ministere%20pt%20verificare%20centralizator\2018%20Prioritizare%20anexa%203%20transport%20naval%2006.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exa 3 iunie 2018"/>
      <sheetName val="Anexa 3 iulie 2018"/>
      <sheetName val=" A 2  modif 10 iulie 2018"/>
    </sheetNames>
    <sheetDataSet>
      <sheetData sheetId="0"/>
      <sheetData sheetId="1">
        <row r="11">
          <cell r="I11">
            <v>15812492</v>
          </cell>
          <cell r="M11">
            <v>10083369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 3"/>
    </sheetNames>
    <sheetDataSet>
      <sheetData sheetId="0">
        <row r="100">
          <cell r="F100">
            <v>57.025800000000011</v>
          </cell>
          <cell r="G100">
            <v>49.945301788876442</v>
          </cell>
          <cell r="I100">
            <v>108444423.36452997</v>
          </cell>
          <cell r="M100">
            <v>65459951.74453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 PUNCTAJ"/>
      <sheetName val="Sheet1"/>
    </sheetNames>
    <sheetDataSet>
      <sheetData sheetId="0">
        <row r="192">
          <cell r="F192">
            <v>6980.5</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
      <sheetName val="Anexa 3 - 05.09.2018"/>
      <sheetName val="Anexa 3 - 28.04.2016"/>
      <sheetName val="lista modificari"/>
      <sheetName val="Sheet1"/>
    </sheetNames>
    <sheetDataSet>
      <sheetData sheetId="0"/>
      <sheetData sheetId="1">
        <row r="21">
          <cell r="I21">
            <v>37207406</v>
          </cell>
          <cell r="M21">
            <v>22054299.829999998</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 3"/>
    </sheetNames>
    <sheetDataSet>
      <sheetData sheetId="0">
        <row r="17">
          <cell r="I17">
            <v>4554710</v>
          </cell>
          <cell r="M17">
            <v>2865562</v>
          </cell>
        </row>
      </sheetData>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30"/>
  <sheetViews>
    <sheetView tabSelected="1" view="pageBreakPreview" zoomScale="70" zoomScaleNormal="70" zoomScaleSheetLayoutView="70" zoomScalePageLayoutView="85" workbookViewId="0">
      <pane ySplit="9" topLeftCell="A46" activePane="bottomLeft" state="frozen"/>
      <selection pane="bottomLeft" activeCell="D47" sqref="D47"/>
    </sheetView>
  </sheetViews>
  <sheetFormatPr defaultRowHeight="15.75"/>
  <cols>
    <col min="1" max="1" width="6.5703125" style="34" customWidth="1"/>
    <col min="2" max="2" width="57.7109375" style="181" customWidth="1"/>
    <col min="3" max="3" width="15.42578125" style="33" customWidth="1"/>
    <col min="4" max="4" width="22.7109375" style="33" customWidth="1"/>
    <col min="5" max="5" width="16.42578125" style="34" customWidth="1"/>
    <col min="6" max="6" width="15.85546875" style="35" customWidth="1"/>
    <col min="7" max="7" width="20.28515625" style="94" customWidth="1"/>
    <col min="8" max="8" width="15.85546875" style="104" customWidth="1"/>
    <col min="9" max="9" width="18" style="104" customWidth="1"/>
    <col min="10" max="12" width="19" style="141" customWidth="1"/>
    <col min="13" max="13" width="18.140625" style="103" customWidth="1"/>
    <col min="14" max="14" width="34.140625" style="34" customWidth="1"/>
    <col min="15" max="15" width="20.28515625" style="105" customWidth="1"/>
    <col min="16" max="16" width="103.5703125" style="182" customWidth="1"/>
    <col min="17" max="17" width="12.85546875" style="2" customWidth="1"/>
    <col min="18" max="18" width="16" style="2" customWidth="1"/>
    <col min="19" max="19" width="14.28515625" style="2" customWidth="1"/>
    <col min="20" max="20" width="13.85546875" style="2" customWidth="1"/>
    <col min="21" max="21" width="16" style="2" customWidth="1"/>
    <col min="22" max="16384" width="9.140625" style="2"/>
  </cols>
  <sheetData>
    <row r="1" spans="1:17">
      <c r="A1" s="2"/>
      <c r="B1" s="2"/>
      <c r="P1" s="173" t="s">
        <v>254</v>
      </c>
      <c r="Q1" s="139"/>
    </row>
    <row r="2" spans="1:17">
      <c r="A2" s="37"/>
      <c r="B2" s="37"/>
    </row>
    <row r="3" spans="1:17" ht="19.5">
      <c r="A3" s="390" t="s">
        <v>255</v>
      </c>
      <c r="B3" s="390"/>
      <c r="C3" s="391"/>
      <c r="D3" s="390"/>
      <c r="E3" s="390"/>
      <c r="F3" s="390"/>
      <c r="G3" s="390"/>
      <c r="H3" s="392"/>
      <c r="I3" s="390"/>
      <c r="J3" s="392"/>
      <c r="K3" s="390"/>
      <c r="L3" s="390"/>
      <c r="M3" s="390"/>
      <c r="N3" s="390"/>
      <c r="O3" s="390"/>
      <c r="P3" s="393"/>
    </row>
    <row r="4" spans="1:17" ht="19.5">
      <c r="A4" s="390" t="s">
        <v>256</v>
      </c>
      <c r="B4" s="390"/>
      <c r="C4" s="391"/>
      <c r="D4" s="390"/>
      <c r="E4" s="390"/>
      <c r="F4" s="390"/>
      <c r="G4" s="390"/>
      <c r="H4" s="392"/>
      <c r="I4" s="390"/>
      <c r="J4" s="392"/>
      <c r="K4" s="390"/>
      <c r="L4" s="390"/>
      <c r="M4" s="390"/>
      <c r="N4" s="390"/>
      <c r="O4" s="390"/>
      <c r="P4" s="393"/>
    </row>
    <row r="5" spans="1:17">
      <c r="A5" s="37"/>
      <c r="B5" s="37"/>
    </row>
    <row r="6" spans="1:17" ht="16.5" thickBot="1">
      <c r="A6" s="37"/>
      <c r="B6" s="37"/>
      <c r="F6" s="155"/>
      <c r="L6" s="163"/>
      <c r="P6" s="161"/>
    </row>
    <row r="7" spans="1:17" s="12" customFormat="1" ht="44.25" customHeight="1">
      <c r="A7" s="394" t="s">
        <v>0</v>
      </c>
      <c r="B7" s="396" t="s">
        <v>1</v>
      </c>
      <c r="C7" s="398" t="s">
        <v>2</v>
      </c>
      <c r="D7" s="400" t="s">
        <v>206</v>
      </c>
      <c r="E7" s="398" t="s">
        <v>3</v>
      </c>
      <c r="F7" s="402" t="s">
        <v>4</v>
      </c>
      <c r="G7" s="404" t="s">
        <v>5</v>
      </c>
      <c r="H7" s="406" t="s">
        <v>251</v>
      </c>
      <c r="I7" s="406" t="s">
        <v>252</v>
      </c>
      <c r="J7" s="418" t="s">
        <v>93</v>
      </c>
      <c r="K7" s="420" t="s">
        <v>326</v>
      </c>
      <c r="L7" s="420" t="s">
        <v>327</v>
      </c>
      <c r="M7" s="418" t="s">
        <v>300</v>
      </c>
      <c r="N7" s="398" t="s">
        <v>253</v>
      </c>
      <c r="O7" s="408" t="s">
        <v>94</v>
      </c>
      <c r="P7" s="409"/>
    </row>
    <row r="8" spans="1:17" s="13" customFormat="1" ht="78" customHeight="1">
      <c r="A8" s="395"/>
      <c r="B8" s="397"/>
      <c r="C8" s="399"/>
      <c r="D8" s="401"/>
      <c r="E8" s="399"/>
      <c r="F8" s="403"/>
      <c r="G8" s="405"/>
      <c r="H8" s="407"/>
      <c r="I8" s="407"/>
      <c r="J8" s="419"/>
      <c r="K8" s="421"/>
      <c r="L8" s="421"/>
      <c r="M8" s="419"/>
      <c r="N8" s="399"/>
      <c r="O8" s="38" t="s">
        <v>6</v>
      </c>
      <c r="P8" s="172" t="s">
        <v>130</v>
      </c>
    </row>
    <row r="9" spans="1:17" s="14" customFormat="1">
      <c r="A9" s="39">
        <v>0</v>
      </c>
      <c r="B9" s="40">
        <v>1</v>
      </c>
      <c r="C9" s="41">
        <v>2</v>
      </c>
      <c r="D9" s="41">
        <v>3</v>
      </c>
      <c r="E9" s="41">
        <v>4</v>
      </c>
      <c r="F9" s="42">
        <v>5</v>
      </c>
      <c r="G9" s="42">
        <v>6</v>
      </c>
      <c r="H9" s="42">
        <v>7</v>
      </c>
      <c r="I9" s="42">
        <v>8</v>
      </c>
      <c r="J9" s="42">
        <v>9</v>
      </c>
      <c r="K9" s="42">
        <v>10</v>
      </c>
      <c r="L9" s="42">
        <v>11</v>
      </c>
      <c r="M9" s="102">
        <v>12</v>
      </c>
      <c r="N9" s="42">
        <v>13</v>
      </c>
      <c r="O9" s="106">
        <v>14</v>
      </c>
      <c r="P9" s="171">
        <v>15</v>
      </c>
    </row>
    <row r="10" spans="1:17" s="194" customFormat="1" ht="77.25" customHeight="1">
      <c r="A10" s="183">
        <v>1</v>
      </c>
      <c r="B10" s="184" t="s">
        <v>180</v>
      </c>
      <c r="C10" s="185" t="s">
        <v>232</v>
      </c>
      <c r="D10" s="185" t="s">
        <v>191</v>
      </c>
      <c r="E10" s="186" t="s">
        <v>8</v>
      </c>
      <c r="F10" s="187">
        <v>1185</v>
      </c>
      <c r="G10" s="188">
        <v>101</v>
      </c>
      <c r="H10" s="189">
        <v>0.12939999999999999</v>
      </c>
      <c r="I10" s="189">
        <f>K10/J10</f>
        <v>0.10101317990499369</v>
      </c>
      <c r="J10" s="190">
        <v>3805642</v>
      </c>
      <c r="K10" s="190">
        <v>384420</v>
      </c>
      <c r="L10" s="190">
        <v>845096</v>
      </c>
      <c r="M10" s="191">
        <f t="shared" ref="M10:M66" si="0">J10-K10-L10</f>
        <v>2576126</v>
      </c>
      <c r="N10" s="185" t="s">
        <v>298</v>
      </c>
      <c r="O10" s="192">
        <v>573891887</v>
      </c>
      <c r="P10" s="193"/>
    </row>
    <row r="11" spans="1:17" s="194" customFormat="1" ht="77.25" customHeight="1">
      <c r="A11" s="183">
        <v>2</v>
      </c>
      <c r="B11" s="184" t="s">
        <v>246</v>
      </c>
      <c r="C11" s="185" t="s">
        <v>247</v>
      </c>
      <c r="D11" s="185" t="s">
        <v>247</v>
      </c>
      <c r="E11" s="186" t="s">
        <v>8</v>
      </c>
      <c r="F11" s="195">
        <v>474</v>
      </c>
      <c r="G11" s="188">
        <v>101</v>
      </c>
      <c r="H11" s="189">
        <v>8.2600000000000007E-2</v>
      </c>
      <c r="I11" s="189">
        <v>0.1615</v>
      </c>
      <c r="J11" s="191">
        <v>237420</v>
      </c>
      <c r="K11" s="191">
        <v>16552</v>
      </c>
      <c r="L11" s="191">
        <v>88783</v>
      </c>
      <c r="M11" s="191">
        <f t="shared" si="0"/>
        <v>132085</v>
      </c>
      <c r="N11" s="185" t="s">
        <v>248</v>
      </c>
      <c r="O11" s="196">
        <v>31784664</v>
      </c>
      <c r="P11" s="197"/>
    </row>
    <row r="12" spans="1:17" s="194" customFormat="1" ht="77.25" customHeight="1">
      <c r="A12" s="183">
        <v>3</v>
      </c>
      <c r="B12" s="198" t="s">
        <v>267</v>
      </c>
      <c r="C12" s="199" t="s">
        <v>269</v>
      </c>
      <c r="D12" s="200" t="s">
        <v>268</v>
      </c>
      <c r="E12" s="199" t="s">
        <v>8</v>
      </c>
      <c r="F12" s="199">
        <v>1368</v>
      </c>
      <c r="G12" s="201">
        <v>101</v>
      </c>
      <c r="H12" s="202">
        <v>2.8999999999999998E-3</v>
      </c>
      <c r="I12" s="189">
        <v>2.8999999999999998E-3</v>
      </c>
      <c r="J12" s="191">
        <v>184506</v>
      </c>
      <c r="K12" s="191">
        <v>217</v>
      </c>
      <c r="L12" s="191">
        <v>8433</v>
      </c>
      <c r="M12" s="191">
        <f>J12-K12-L12</f>
        <v>175856</v>
      </c>
      <c r="N12" s="200" t="s">
        <v>301</v>
      </c>
      <c r="O12" s="203">
        <f>48706300/4.9</f>
        <v>9940061.224489795</v>
      </c>
      <c r="P12" s="204"/>
    </row>
    <row r="13" spans="1:17" s="194" customFormat="1" ht="77.25" customHeight="1">
      <c r="A13" s="183">
        <v>4</v>
      </c>
      <c r="B13" s="184" t="s">
        <v>181</v>
      </c>
      <c r="C13" s="185" t="s">
        <v>232</v>
      </c>
      <c r="D13" s="185" t="s">
        <v>191</v>
      </c>
      <c r="E13" s="186" t="s">
        <v>8</v>
      </c>
      <c r="F13" s="195">
        <v>1280</v>
      </c>
      <c r="G13" s="188">
        <v>100</v>
      </c>
      <c r="H13" s="189">
        <v>0</v>
      </c>
      <c r="I13" s="189">
        <v>6.0000000000000001E-3</v>
      </c>
      <c r="J13" s="191">
        <v>202457</v>
      </c>
      <c r="K13" s="191">
        <v>1075</v>
      </c>
      <c r="L13" s="191">
        <v>376</v>
      </c>
      <c r="M13" s="191">
        <f t="shared" si="0"/>
        <v>201006</v>
      </c>
      <c r="N13" s="185" t="s">
        <v>298</v>
      </c>
      <c r="O13" s="191">
        <f>65764297/4.8</f>
        <v>13700895.208333334</v>
      </c>
      <c r="P13" s="209" t="s">
        <v>393</v>
      </c>
    </row>
    <row r="14" spans="1:17" s="194" customFormat="1" ht="77.25" customHeight="1">
      <c r="A14" s="183">
        <v>5</v>
      </c>
      <c r="B14" s="198" t="s">
        <v>265</v>
      </c>
      <c r="C14" s="186" t="s">
        <v>269</v>
      </c>
      <c r="D14" s="200" t="s">
        <v>168</v>
      </c>
      <c r="E14" s="199" t="s">
        <v>12</v>
      </c>
      <c r="F14" s="205">
        <v>11177</v>
      </c>
      <c r="G14" s="201">
        <v>99</v>
      </c>
      <c r="H14" s="202">
        <v>0</v>
      </c>
      <c r="I14" s="189">
        <v>0</v>
      </c>
      <c r="J14" s="191">
        <v>145690</v>
      </c>
      <c r="K14" s="191">
        <v>0</v>
      </c>
      <c r="L14" s="191">
        <v>36150</v>
      </c>
      <c r="M14" s="191">
        <f t="shared" si="0"/>
        <v>109540</v>
      </c>
      <c r="N14" s="200" t="s">
        <v>171</v>
      </c>
      <c r="O14" s="203">
        <v>47377743</v>
      </c>
      <c r="P14" s="204" t="s">
        <v>399</v>
      </c>
    </row>
    <row r="15" spans="1:17" s="194" customFormat="1" ht="77.25" customHeight="1">
      <c r="A15" s="183">
        <v>6</v>
      </c>
      <c r="B15" s="198" t="s">
        <v>218</v>
      </c>
      <c r="C15" s="186" t="s">
        <v>269</v>
      </c>
      <c r="D15" s="199" t="s">
        <v>166</v>
      </c>
      <c r="E15" s="199" t="s">
        <v>8</v>
      </c>
      <c r="F15" s="205">
        <v>1304</v>
      </c>
      <c r="G15" s="201">
        <v>99</v>
      </c>
      <c r="H15" s="202">
        <v>0.18</v>
      </c>
      <c r="I15" s="189">
        <v>0.16400000000000001</v>
      </c>
      <c r="J15" s="191">
        <v>241983</v>
      </c>
      <c r="K15" s="191">
        <v>39674</v>
      </c>
      <c r="L15" s="191">
        <v>50114</v>
      </c>
      <c r="M15" s="191">
        <f t="shared" si="0"/>
        <v>152195</v>
      </c>
      <c r="N15" s="210">
        <v>2023</v>
      </c>
      <c r="O15" s="203">
        <f>40947732</f>
        <v>40947732</v>
      </c>
      <c r="P15" s="204"/>
    </row>
    <row r="16" spans="1:17" s="194" customFormat="1" ht="77.25" customHeight="1">
      <c r="A16" s="183">
        <v>7</v>
      </c>
      <c r="B16" s="211" t="s">
        <v>179</v>
      </c>
      <c r="C16" s="212" t="s">
        <v>275</v>
      </c>
      <c r="D16" s="212" t="s">
        <v>275</v>
      </c>
      <c r="E16" s="212" t="s">
        <v>8</v>
      </c>
      <c r="F16" s="213">
        <v>1031</v>
      </c>
      <c r="G16" s="188">
        <v>98.5</v>
      </c>
      <c r="H16" s="189">
        <v>0.88270000000000004</v>
      </c>
      <c r="I16" s="189">
        <v>0.94410000000000005</v>
      </c>
      <c r="J16" s="190">
        <v>1739734</v>
      </c>
      <c r="K16" s="190">
        <v>1642556</v>
      </c>
      <c r="L16" s="190">
        <v>97178</v>
      </c>
      <c r="M16" s="191">
        <f t="shared" si="0"/>
        <v>0</v>
      </c>
      <c r="N16" s="205" t="s">
        <v>301</v>
      </c>
      <c r="O16" s="208">
        <v>117113838</v>
      </c>
      <c r="P16" s="214" t="s">
        <v>429</v>
      </c>
    </row>
    <row r="17" spans="1:16" s="194" customFormat="1" ht="107.25" customHeight="1">
      <c r="A17" s="183">
        <v>8</v>
      </c>
      <c r="B17" s="198" t="s">
        <v>250</v>
      </c>
      <c r="C17" s="185" t="s">
        <v>9</v>
      </c>
      <c r="D17" s="200" t="s">
        <v>291</v>
      </c>
      <c r="E17" s="199" t="s">
        <v>12</v>
      </c>
      <c r="F17" s="205">
        <v>1416</v>
      </c>
      <c r="G17" s="188">
        <v>98</v>
      </c>
      <c r="H17" s="206">
        <v>0</v>
      </c>
      <c r="I17" s="189">
        <v>2.0899999999999998E-2</v>
      </c>
      <c r="J17" s="191">
        <v>250782</v>
      </c>
      <c r="K17" s="191">
        <v>5236</v>
      </c>
      <c r="L17" s="191">
        <v>0</v>
      </c>
      <c r="M17" s="191">
        <f t="shared" si="0"/>
        <v>245546</v>
      </c>
      <c r="N17" s="185" t="s">
        <v>231</v>
      </c>
      <c r="O17" s="208">
        <v>33299000000</v>
      </c>
      <c r="P17" s="215" t="s">
        <v>386</v>
      </c>
    </row>
    <row r="18" spans="1:16" s="194" customFormat="1" ht="104.25" customHeight="1">
      <c r="A18" s="183">
        <v>9</v>
      </c>
      <c r="B18" s="198" t="s">
        <v>287</v>
      </c>
      <c r="C18" s="216" t="s">
        <v>9</v>
      </c>
      <c r="D18" s="200" t="s">
        <v>288</v>
      </c>
      <c r="E18" s="199" t="s">
        <v>12</v>
      </c>
      <c r="F18" s="205">
        <v>1435</v>
      </c>
      <c r="G18" s="201">
        <v>98</v>
      </c>
      <c r="H18" s="202">
        <v>0</v>
      </c>
      <c r="I18" s="189">
        <v>9.9000000000000008E-3</v>
      </c>
      <c r="J18" s="191">
        <v>371213</v>
      </c>
      <c r="K18" s="191">
        <v>3673</v>
      </c>
      <c r="L18" s="191">
        <v>0</v>
      </c>
      <c r="M18" s="191">
        <f t="shared" si="0"/>
        <v>367540</v>
      </c>
      <c r="N18" s="200" t="s">
        <v>231</v>
      </c>
      <c r="O18" s="203">
        <v>15188000000</v>
      </c>
      <c r="P18" s="215" t="s">
        <v>386</v>
      </c>
    </row>
    <row r="19" spans="1:16" s="194" customFormat="1" ht="82.5" customHeight="1">
      <c r="A19" s="183">
        <v>10</v>
      </c>
      <c r="B19" s="198" t="s">
        <v>224</v>
      </c>
      <c r="C19" s="185" t="s">
        <v>9</v>
      </c>
      <c r="D19" s="199" t="s">
        <v>9</v>
      </c>
      <c r="E19" s="199" t="s">
        <v>8</v>
      </c>
      <c r="F19" s="205">
        <v>1315</v>
      </c>
      <c r="G19" s="201">
        <v>98</v>
      </c>
      <c r="H19" s="202">
        <v>0</v>
      </c>
      <c r="I19" s="189">
        <v>0</v>
      </c>
      <c r="J19" s="191">
        <v>2850508</v>
      </c>
      <c r="K19" s="191">
        <v>0</v>
      </c>
      <c r="L19" s="191">
        <v>20810</v>
      </c>
      <c r="M19" s="191">
        <f t="shared" si="0"/>
        <v>2829698</v>
      </c>
      <c r="N19" s="200" t="s">
        <v>173</v>
      </c>
      <c r="O19" s="203">
        <f>2359281000</f>
        <v>2359281000</v>
      </c>
      <c r="P19" s="215" t="s">
        <v>381</v>
      </c>
    </row>
    <row r="20" spans="1:16" s="194" customFormat="1" ht="84" customHeight="1">
      <c r="A20" s="183">
        <v>11</v>
      </c>
      <c r="B20" s="198" t="s">
        <v>223</v>
      </c>
      <c r="C20" s="185" t="s">
        <v>9</v>
      </c>
      <c r="D20" s="199" t="s">
        <v>9</v>
      </c>
      <c r="E20" s="199" t="s">
        <v>8</v>
      </c>
      <c r="F20" s="205">
        <v>1313</v>
      </c>
      <c r="G20" s="201">
        <v>98</v>
      </c>
      <c r="H20" s="202">
        <v>0</v>
      </c>
      <c r="I20" s="189">
        <v>0</v>
      </c>
      <c r="J20" s="191">
        <v>2568751</v>
      </c>
      <c r="K20" s="191">
        <v>0</v>
      </c>
      <c r="L20" s="191">
        <v>21810</v>
      </c>
      <c r="M20" s="191">
        <f t="shared" si="0"/>
        <v>2546941</v>
      </c>
      <c r="N20" s="200" t="s">
        <v>173</v>
      </c>
      <c r="O20" s="203">
        <f>2211885000</f>
        <v>2211885000</v>
      </c>
      <c r="P20" s="217" t="s">
        <v>382</v>
      </c>
    </row>
    <row r="21" spans="1:16" s="194" customFormat="1" ht="77.25" customHeight="1">
      <c r="A21" s="183">
        <v>12</v>
      </c>
      <c r="B21" s="211" t="s">
        <v>146</v>
      </c>
      <c r="C21" s="200" t="s">
        <v>9</v>
      </c>
      <c r="D21" s="200" t="s">
        <v>9</v>
      </c>
      <c r="E21" s="218" t="s">
        <v>8</v>
      </c>
      <c r="F21" s="219">
        <v>1314</v>
      </c>
      <c r="G21" s="220">
        <v>98</v>
      </c>
      <c r="H21" s="189">
        <v>0</v>
      </c>
      <c r="I21" s="189">
        <v>0</v>
      </c>
      <c r="J21" s="191">
        <v>2382970</v>
      </c>
      <c r="K21" s="191">
        <v>0</v>
      </c>
      <c r="L21" s="191">
        <v>21810</v>
      </c>
      <c r="M21" s="191">
        <f t="shared" si="0"/>
        <v>2361160</v>
      </c>
      <c r="N21" s="205">
        <v>2027</v>
      </c>
      <c r="O21" s="203">
        <v>2143122000</v>
      </c>
      <c r="P21" s="217" t="s">
        <v>383</v>
      </c>
    </row>
    <row r="22" spans="1:16" s="194" customFormat="1" ht="77.25" customHeight="1">
      <c r="A22" s="183">
        <v>13</v>
      </c>
      <c r="B22" s="198" t="s">
        <v>325</v>
      </c>
      <c r="C22" s="216" t="s">
        <v>269</v>
      </c>
      <c r="D22" s="221" t="s">
        <v>166</v>
      </c>
      <c r="E22" s="199" t="s">
        <v>12</v>
      </c>
      <c r="F22" s="205">
        <v>1425</v>
      </c>
      <c r="G22" s="201">
        <v>98</v>
      </c>
      <c r="H22" s="202">
        <v>0</v>
      </c>
      <c r="I22" s="189">
        <v>0</v>
      </c>
      <c r="J22" s="191">
        <v>245754</v>
      </c>
      <c r="K22" s="191">
        <v>0</v>
      </c>
      <c r="L22" s="191">
        <v>10837</v>
      </c>
      <c r="M22" s="191">
        <f t="shared" si="0"/>
        <v>234917</v>
      </c>
      <c r="N22" s="200" t="s">
        <v>171</v>
      </c>
      <c r="O22" s="203">
        <v>1121421133</v>
      </c>
      <c r="P22" s="204"/>
    </row>
    <row r="23" spans="1:16" s="194" customFormat="1" ht="77.25" customHeight="1">
      <c r="A23" s="183">
        <v>14</v>
      </c>
      <c r="B23" s="198" t="s">
        <v>274</v>
      </c>
      <c r="C23" s="199" t="s">
        <v>269</v>
      </c>
      <c r="D23" s="200" t="s">
        <v>167</v>
      </c>
      <c r="E23" s="199" t="s">
        <v>8</v>
      </c>
      <c r="F23" s="199">
        <v>1329</v>
      </c>
      <c r="G23" s="223">
        <v>98</v>
      </c>
      <c r="H23" s="202">
        <v>0.15670000000000001</v>
      </c>
      <c r="I23" s="189">
        <v>0.20960000000000001</v>
      </c>
      <c r="J23" s="191">
        <v>655187</v>
      </c>
      <c r="K23" s="191">
        <v>117249</v>
      </c>
      <c r="L23" s="191">
        <v>245253</v>
      </c>
      <c r="M23" s="191">
        <f>J23-K23-L23</f>
        <v>292685</v>
      </c>
      <c r="N23" s="200" t="s">
        <v>170</v>
      </c>
      <c r="O23" s="203">
        <f>486180000/4.9</f>
        <v>99220408.163265303</v>
      </c>
      <c r="P23" s="224" t="s">
        <v>374</v>
      </c>
    </row>
    <row r="24" spans="1:16" s="194" customFormat="1" ht="101.25" customHeight="1">
      <c r="A24" s="183">
        <v>15</v>
      </c>
      <c r="B24" s="198" t="s">
        <v>249</v>
      </c>
      <c r="C24" s="185" t="s">
        <v>270</v>
      </c>
      <c r="D24" s="200" t="s">
        <v>271</v>
      </c>
      <c r="E24" s="199" t="s">
        <v>8</v>
      </c>
      <c r="F24" s="205">
        <v>1107</v>
      </c>
      <c r="G24" s="201">
        <v>98</v>
      </c>
      <c r="H24" s="202">
        <v>7.0000000000000007E-2</v>
      </c>
      <c r="I24" s="189">
        <v>3.6999999999999998E-2</v>
      </c>
      <c r="J24" s="191">
        <v>176488</v>
      </c>
      <c r="K24" s="191">
        <v>3557</v>
      </c>
      <c r="L24" s="191">
        <v>74260</v>
      </c>
      <c r="M24" s="191">
        <f t="shared" si="0"/>
        <v>98671</v>
      </c>
      <c r="N24" s="200" t="s">
        <v>171</v>
      </c>
      <c r="O24" s="208">
        <f>176487956.53/4.8</f>
        <v>36768324.277083337</v>
      </c>
      <c r="P24" s="204"/>
    </row>
    <row r="25" spans="1:16" s="194" customFormat="1" ht="128.25" customHeight="1">
      <c r="A25" s="183">
        <v>16</v>
      </c>
      <c r="B25" s="225" t="s">
        <v>296</v>
      </c>
      <c r="C25" s="216" t="s">
        <v>270</v>
      </c>
      <c r="D25" s="200" t="s">
        <v>278</v>
      </c>
      <c r="E25" s="199" t="s">
        <v>8</v>
      </c>
      <c r="F25" s="226">
        <v>1107</v>
      </c>
      <c r="G25" s="201">
        <v>98</v>
      </c>
      <c r="H25" s="202">
        <v>5.0000000000000001E-3</v>
      </c>
      <c r="I25" s="189">
        <v>2.7E-2</v>
      </c>
      <c r="J25" s="191">
        <v>175646</v>
      </c>
      <c r="K25" s="191">
        <v>0</v>
      </c>
      <c r="L25" s="191">
        <v>38724</v>
      </c>
      <c r="M25" s="191">
        <f t="shared" si="0"/>
        <v>136922</v>
      </c>
      <c r="N25" s="200" t="s">
        <v>231</v>
      </c>
      <c r="O25" s="203">
        <f>118280000/4.9</f>
        <v>24138775.51020408</v>
      </c>
      <c r="P25" s="204"/>
    </row>
    <row r="26" spans="1:16" s="194" customFormat="1" ht="105.75" customHeight="1">
      <c r="A26" s="183">
        <v>17</v>
      </c>
      <c r="B26" s="198" t="s">
        <v>222</v>
      </c>
      <c r="C26" s="185" t="s">
        <v>270</v>
      </c>
      <c r="D26" s="200" t="s">
        <v>272</v>
      </c>
      <c r="E26" s="199" t="s">
        <v>8</v>
      </c>
      <c r="F26" s="205">
        <v>1107</v>
      </c>
      <c r="G26" s="201">
        <v>98</v>
      </c>
      <c r="H26" s="202">
        <v>0.5</v>
      </c>
      <c r="I26" s="189">
        <v>0.28000000000000003</v>
      </c>
      <c r="J26" s="191">
        <v>111554</v>
      </c>
      <c r="K26" s="191">
        <v>27898</v>
      </c>
      <c r="L26" s="191">
        <v>45400</v>
      </c>
      <c r="M26" s="191">
        <f t="shared" si="0"/>
        <v>38256</v>
      </c>
      <c r="N26" s="200" t="s">
        <v>171</v>
      </c>
      <c r="O26" s="203">
        <f>115197384.08/4.8</f>
        <v>23999455.016666666</v>
      </c>
      <c r="P26" s="204"/>
    </row>
    <row r="27" spans="1:16" s="194" customFormat="1" ht="77.25" customHeight="1">
      <c r="A27" s="183">
        <v>18</v>
      </c>
      <c r="B27" s="198" t="s">
        <v>438</v>
      </c>
      <c r="C27" s="186" t="s">
        <v>269</v>
      </c>
      <c r="D27" s="200" t="s">
        <v>166</v>
      </c>
      <c r="E27" s="199" t="s">
        <v>12</v>
      </c>
      <c r="F27" s="228" t="s">
        <v>79</v>
      </c>
      <c r="G27" s="201">
        <v>98</v>
      </c>
      <c r="H27" s="202">
        <v>0</v>
      </c>
      <c r="I27" s="189">
        <v>0</v>
      </c>
      <c r="J27" s="191">
        <v>168726</v>
      </c>
      <c r="K27" s="191">
        <v>0</v>
      </c>
      <c r="L27" s="191">
        <v>0</v>
      </c>
      <c r="M27" s="191">
        <f t="shared" si="0"/>
        <v>168726</v>
      </c>
      <c r="N27" s="229" t="s">
        <v>304</v>
      </c>
      <c r="O27" s="203">
        <f>16377854</f>
        <v>16377854</v>
      </c>
      <c r="P27" s="204"/>
    </row>
    <row r="28" spans="1:16" s="194" customFormat="1" ht="77.25" customHeight="1">
      <c r="A28" s="183">
        <v>19</v>
      </c>
      <c r="B28" s="230" t="s">
        <v>344</v>
      </c>
      <c r="C28" s="231" t="s">
        <v>9</v>
      </c>
      <c r="D28" s="216" t="s">
        <v>345</v>
      </c>
      <c r="E28" s="216" t="s">
        <v>12</v>
      </c>
      <c r="F28" s="232">
        <v>1436</v>
      </c>
      <c r="G28" s="233">
        <v>98</v>
      </c>
      <c r="H28" s="234">
        <v>0</v>
      </c>
      <c r="I28" s="235">
        <v>6.7999999999999996E-3</v>
      </c>
      <c r="J28" s="236">
        <v>295782</v>
      </c>
      <c r="K28" s="236">
        <v>2017</v>
      </c>
      <c r="L28" s="236">
        <v>0</v>
      </c>
      <c r="M28" s="191">
        <f t="shared" si="0"/>
        <v>293765</v>
      </c>
      <c r="N28" s="221" t="s">
        <v>231</v>
      </c>
      <c r="O28" s="237">
        <f>15.188*1000000</f>
        <v>15188000</v>
      </c>
      <c r="P28" s="217" t="s">
        <v>376</v>
      </c>
    </row>
    <row r="29" spans="1:16" s="194" customFormat="1" ht="77.25" customHeight="1">
      <c r="A29" s="183">
        <v>20</v>
      </c>
      <c r="B29" s="198" t="s">
        <v>266</v>
      </c>
      <c r="C29" s="186" t="s">
        <v>269</v>
      </c>
      <c r="D29" s="200" t="s">
        <v>168</v>
      </c>
      <c r="E29" s="199" t="s">
        <v>12</v>
      </c>
      <c r="F29" s="228">
        <v>19987</v>
      </c>
      <c r="G29" s="201">
        <v>98</v>
      </c>
      <c r="H29" s="202">
        <v>0</v>
      </c>
      <c r="I29" s="189">
        <v>0</v>
      </c>
      <c r="J29" s="191">
        <v>113390</v>
      </c>
      <c r="K29" s="191">
        <v>0</v>
      </c>
      <c r="L29" s="191">
        <v>16893</v>
      </c>
      <c r="M29" s="191">
        <f t="shared" si="0"/>
        <v>96497</v>
      </c>
      <c r="N29" s="200" t="s">
        <v>231</v>
      </c>
      <c r="O29" s="203">
        <f>8774528/4.9</f>
        <v>1790719.9999999998</v>
      </c>
      <c r="P29" s="204" t="s">
        <v>395</v>
      </c>
    </row>
    <row r="30" spans="1:16" s="194" customFormat="1" ht="77.25" customHeight="1">
      <c r="A30" s="183">
        <v>21</v>
      </c>
      <c r="B30" s="230" t="s">
        <v>346</v>
      </c>
      <c r="C30" s="231" t="s">
        <v>9</v>
      </c>
      <c r="D30" s="216" t="s">
        <v>347</v>
      </c>
      <c r="E30" s="216" t="s">
        <v>12</v>
      </c>
      <c r="F30" s="232" t="s">
        <v>79</v>
      </c>
      <c r="G30" s="233">
        <v>97</v>
      </c>
      <c r="H30" s="234">
        <v>0</v>
      </c>
      <c r="I30" s="235">
        <v>0.01</v>
      </c>
      <c r="J30" s="236">
        <v>217462</v>
      </c>
      <c r="K30" s="236">
        <v>2280</v>
      </c>
      <c r="L30" s="236">
        <v>2220</v>
      </c>
      <c r="M30" s="191">
        <f t="shared" si="0"/>
        <v>212962</v>
      </c>
      <c r="N30" s="221" t="s">
        <v>240</v>
      </c>
      <c r="O30" s="237">
        <f>1008454600/4.9</f>
        <v>205807061.22448978</v>
      </c>
      <c r="P30" s="238" t="s">
        <v>348</v>
      </c>
    </row>
    <row r="31" spans="1:16" s="194" customFormat="1" ht="82.5" customHeight="1">
      <c r="A31" s="183">
        <v>22</v>
      </c>
      <c r="B31" s="239" t="s">
        <v>134</v>
      </c>
      <c r="C31" s="186" t="s">
        <v>269</v>
      </c>
      <c r="D31" s="200" t="s">
        <v>167</v>
      </c>
      <c r="E31" s="240" t="s">
        <v>8</v>
      </c>
      <c r="F31" s="241">
        <v>1004</v>
      </c>
      <c r="G31" s="201">
        <v>96.5</v>
      </c>
      <c r="H31" s="189">
        <v>0.99660000000000004</v>
      </c>
      <c r="I31" s="189">
        <v>0.84840000000000004</v>
      </c>
      <c r="J31" s="190">
        <v>4817771</v>
      </c>
      <c r="K31" s="190">
        <v>2903338</v>
      </c>
      <c r="L31" s="190">
        <v>47483</v>
      </c>
      <c r="M31" s="191">
        <f t="shared" si="0"/>
        <v>1866950</v>
      </c>
      <c r="N31" s="227">
        <v>2023</v>
      </c>
      <c r="O31" s="208">
        <f>894374213/4.8</f>
        <v>186327961.04166669</v>
      </c>
      <c r="P31" s="242" t="s">
        <v>368</v>
      </c>
    </row>
    <row r="32" spans="1:16" s="194" customFormat="1" ht="82.5" customHeight="1">
      <c r="A32" s="183">
        <v>23</v>
      </c>
      <c r="B32" s="239" t="s">
        <v>135</v>
      </c>
      <c r="C32" s="186" t="s">
        <v>269</v>
      </c>
      <c r="D32" s="200" t="s">
        <v>167</v>
      </c>
      <c r="E32" s="240" t="s">
        <v>8</v>
      </c>
      <c r="F32" s="241">
        <v>1003</v>
      </c>
      <c r="G32" s="188">
        <v>96.5</v>
      </c>
      <c r="H32" s="189">
        <v>0.98780000000000001</v>
      </c>
      <c r="I32" s="189">
        <v>0.9244</v>
      </c>
      <c r="J32" s="190">
        <v>3415247</v>
      </c>
      <c r="K32" s="190">
        <v>2958755</v>
      </c>
      <c r="L32" s="243">
        <v>48915</v>
      </c>
      <c r="M32" s="191">
        <f t="shared" si="0"/>
        <v>407577</v>
      </c>
      <c r="N32" s="205">
        <v>2023</v>
      </c>
      <c r="O32" s="208">
        <f>374431594/4.8</f>
        <v>78006582.083333343</v>
      </c>
      <c r="P32" s="224" t="s">
        <v>368</v>
      </c>
    </row>
    <row r="33" spans="1:16" s="194" customFormat="1" ht="108" customHeight="1">
      <c r="A33" s="183">
        <v>24</v>
      </c>
      <c r="B33" s="239" t="s">
        <v>217</v>
      </c>
      <c r="C33" s="186" t="s">
        <v>269</v>
      </c>
      <c r="D33" s="185" t="s">
        <v>167</v>
      </c>
      <c r="E33" s="240" t="s">
        <v>8</v>
      </c>
      <c r="F33" s="205" t="s">
        <v>371</v>
      </c>
      <c r="G33" s="220">
        <v>96</v>
      </c>
      <c r="H33" s="207">
        <v>7.9000000000000001E-2</v>
      </c>
      <c r="I33" s="207">
        <v>6.4699999999999994E-2</v>
      </c>
      <c r="J33" s="190">
        <v>8446112</v>
      </c>
      <c r="K33" s="190">
        <v>459041</v>
      </c>
      <c r="L33" s="190">
        <v>2720969</v>
      </c>
      <c r="M33" s="191">
        <f t="shared" si="0"/>
        <v>5266102</v>
      </c>
      <c r="N33" s="205">
        <v>2024</v>
      </c>
      <c r="O33" s="203">
        <v>5090879000</v>
      </c>
      <c r="P33" s="224" t="s">
        <v>372</v>
      </c>
    </row>
    <row r="34" spans="1:16" s="194" customFormat="1" ht="81.75" customHeight="1">
      <c r="A34" s="183">
        <v>25</v>
      </c>
      <c r="B34" s="245" t="s">
        <v>439</v>
      </c>
      <c r="C34" s="231" t="s">
        <v>269</v>
      </c>
      <c r="D34" s="216" t="s">
        <v>167</v>
      </c>
      <c r="E34" s="216" t="s">
        <v>8</v>
      </c>
      <c r="F34" s="232">
        <v>1397</v>
      </c>
      <c r="G34" s="233">
        <v>96</v>
      </c>
      <c r="H34" s="234">
        <v>0</v>
      </c>
      <c r="I34" s="235">
        <v>0</v>
      </c>
      <c r="J34" s="236">
        <v>8782157</v>
      </c>
      <c r="K34" s="236">
        <v>0</v>
      </c>
      <c r="L34" s="236">
        <v>34711</v>
      </c>
      <c r="M34" s="236">
        <f t="shared" si="0"/>
        <v>8747446</v>
      </c>
      <c r="N34" s="221" t="s">
        <v>231</v>
      </c>
      <c r="O34" s="237">
        <v>309014922</v>
      </c>
      <c r="P34" s="224" t="s">
        <v>440</v>
      </c>
    </row>
    <row r="35" spans="1:16" s="194" customFormat="1" ht="114.75" customHeight="1">
      <c r="A35" s="183">
        <v>26</v>
      </c>
      <c r="B35" s="198" t="s">
        <v>281</v>
      </c>
      <c r="C35" s="216" t="s">
        <v>270</v>
      </c>
      <c r="D35" s="200" t="s">
        <v>284</v>
      </c>
      <c r="E35" s="199" t="s">
        <v>8</v>
      </c>
      <c r="F35" s="226">
        <v>1107</v>
      </c>
      <c r="G35" s="201">
        <v>96</v>
      </c>
      <c r="H35" s="202">
        <v>0</v>
      </c>
      <c r="I35" s="189">
        <v>0</v>
      </c>
      <c r="J35" s="191">
        <v>404557</v>
      </c>
      <c r="K35" s="191">
        <v>0</v>
      </c>
      <c r="L35" s="191">
        <v>60684</v>
      </c>
      <c r="M35" s="191">
        <f t="shared" si="0"/>
        <v>343873</v>
      </c>
      <c r="N35" s="200" t="s">
        <v>240</v>
      </c>
      <c r="O35" s="203">
        <f>472726858.16/4.9</f>
        <v>96474869.012244895</v>
      </c>
      <c r="P35" s="246" t="s">
        <v>377</v>
      </c>
    </row>
    <row r="36" spans="1:16" s="194" customFormat="1" ht="77.25" customHeight="1">
      <c r="A36" s="183">
        <v>27</v>
      </c>
      <c r="B36" s="247" t="s">
        <v>375</v>
      </c>
      <c r="C36" s="231" t="s">
        <v>269</v>
      </c>
      <c r="D36" s="216" t="s">
        <v>167</v>
      </c>
      <c r="E36" s="216" t="s">
        <v>8</v>
      </c>
      <c r="F36" s="232">
        <v>1373</v>
      </c>
      <c r="G36" s="233">
        <v>96</v>
      </c>
      <c r="H36" s="234">
        <v>0</v>
      </c>
      <c r="I36" s="235">
        <v>0</v>
      </c>
      <c r="J36" s="236">
        <v>394075</v>
      </c>
      <c r="K36" s="236">
        <v>0</v>
      </c>
      <c r="L36" s="236">
        <v>320</v>
      </c>
      <c r="M36" s="236">
        <f t="shared" si="0"/>
        <v>393755</v>
      </c>
      <c r="N36" s="221" t="s">
        <v>171</v>
      </c>
      <c r="O36" s="237">
        <v>40560000</v>
      </c>
      <c r="P36" s="238"/>
    </row>
    <row r="37" spans="1:16" s="194" customFormat="1" ht="77.25" customHeight="1">
      <c r="A37" s="183">
        <v>28</v>
      </c>
      <c r="B37" s="229" t="s">
        <v>472</v>
      </c>
      <c r="C37" s="186" t="s">
        <v>269</v>
      </c>
      <c r="D37" s="200" t="s">
        <v>166</v>
      </c>
      <c r="E37" s="199" t="s">
        <v>8</v>
      </c>
      <c r="F37" s="228">
        <v>1306</v>
      </c>
      <c r="G37" s="201">
        <v>96</v>
      </c>
      <c r="H37" s="202">
        <v>0.46179999999999999</v>
      </c>
      <c r="I37" s="189">
        <v>0.24060000000000001</v>
      </c>
      <c r="J37" s="248">
        <v>117949</v>
      </c>
      <c r="K37" s="191">
        <v>28379</v>
      </c>
      <c r="L37" s="191">
        <v>23800</v>
      </c>
      <c r="M37" s="191">
        <f t="shared" si="0"/>
        <v>65770</v>
      </c>
      <c r="N37" s="200" t="s">
        <v>171</v>
      </c>
      <c r="O37" s="203">
        <f>16377854</f>
        <v>16377854</v>
      </c>
      <c r="P37" s="204"/>
    </row>
    <row r="38" spans="1:16" s="194" customFormat="1" ht="129.75" customHeight="1">
      <c r="A38" s="183">
        <v>29</v>
      </c>
      <c r="B38" s="198" t="s">
        <v>279</v>
      </c>
      <c r="C38" s="216" t="s">
        <v>270</v>
      </c>
      <c r="D38" s="200" t="s">
        <v>280</v>
      </c>
      <c r="E38" s="199" t="s">
        <v>8</v>
      </c>
      <c r="F38" s="226">
        <v>1107</v>
      </c>
      <c r="G38" s="201">
        <v>96</v>
      </c>
      <c r="H38" s="202">
        <v>5.0000000000000001E-3</v>
      </c>
      <c r="I38" s="189">
        <v>0.03</v>
      </c>
      <c r="J38" s="191">
        <v>138041</v>
      </c>
      <c r="K38" s="191">
        <v>124</v>
      </c>
      <c r="L38" s="191">
        <v>34267</v>
      </c>
      <c r="M38" s="191">
        <f t="shared" si="0"/>
        <v>103650</v>
      </c>
      <c r="N38" s="200" t="s">
        <v>171</v>
      </c>
      <c r="O38" s="203">
        <f>71978460/4.9</f>
        <v>14689481.632653059</v>
      </c>
      <c r="P38" s="204"/>
    </row>
    <row r="39" spans="1:16" s="194" customFormat="1" ht="96.75" customHeight="1">
      <c r="A39" s="183">
        <v>30</v>
      </c>
      <c r="B39" s="198" t="s">
        <v>264</v>
      </c>
      <c r="C39" s="186" t="s">
        <v>269</v>
      </c>
      <c r="D39" s="200" t="s">
        <v>168</v>
      </c>
      <c r="E39" s="199" t="s">
        <v>12</v>
      </c>
      <c r="F39" s="205">
        <v>11176</v>
      </c>
      <c r="G39" s="201">
        <v>96</v>
      </c>
      <c r="H39" s="202">
        <v>0</v>
      </c>
      <c r="I39" s="189">
        <v>0</v>
      </c>
      <c r="J39" s="191">
        <v>113422</v>
      </c>
      <c r="K39" s="191">
        <v>0</v>
      </c>
      <c r="L39" s="191">
        <v>34840</v>
      </c>
      <c r="M39" s="191">
        <f t="shared" si="0"/>
        <v>78582</v>
      </c>
      <c r="N39" s="200" t="s">
        <v>171</v>
      </c>
      <c r="O39" s="203">
        <f>60699867/4.9</f>
        <v>12387727.959183672</v>
      </c>
      <c r="P39" s="204" t="s">
        <v>399</v>
      </c>
    </row>
    <row r="40" spans="1:16" s="194" customFormat="1" ht="97.5" customHeight="1">
      <c r="A40" s="183">
        <v>31</v>
      </c>
      <c r="B40" s="198" t="s">
        <v>285</v>
      </c>
      <c r="C40" s="199" t="s">
        <v>270</v>
      </c>
      <c r="D40" s="200" t="s">
        <v>286</v>
      </c>
      <c r="E40" s="199" t="s">
        <v>8</v>
      </c>
      <c r="F40" s="205">
        <v>1107</v>
      </c>
      <c r="G40" s="201">
        <v>96</v>
      </c>
      <c r="H40" s="202">
        <v>0</v>
      </c>
      <c r="I40" s="189">
        <v>0</v>
      </c>
      <c r="J40" s="191">
        <v>185263</v>
      </c>
      <c r="K40" s="191">
        <v>0</v>
      </c>
      <c r="L40" s="191">
        <v>37053</v>
      </c>
      <c r="M40" s="191">
        <f t="shared" si="0"/>
        <v>148210</v>
      </c>
      <c r="N40" s="200" t="s">
        <v>231</v>
      </c>
      <c r="O40" s="203">
        <v>44285.89</v>
      </c>
      <c r="P40" s="246" t="s">
        <v>377</v>
      </c>
    </row>
    <row r="41" spans="1:16" s="194" customFormat="1" ht="77.25" customHeight="1">
      <c r="A41" s="183">
        <v>32</v>
      </c>
      <c r="B41" s="230" t="s">
        <v>351</v>
      </c>
      <c r="C41" s="231" t="s">
        <v>232</v>
      </c>
      <c r="D41" s="216" t="s">
        <v>191</v>
      </c>
      <c r="E41" s="216" t="s">
        <v>12</v>
      </c>
      <c r="F41" s="232">
        <v>1423</v>
      </c>
      <c r="G41" s="233">
        <v>95.5</v>
      </c>
      <c r="H41" s="234">
        <v>0</v>
      </c>
      <c r="I41" s="235">
        <v>2E-3</v>
      </c>
      <c r="J41" s="236">
        <v>119498</v>
      </c>
      <c r="K41" s="236">
        <v>2434</v>
      </c>
      <c r="L41" s="236">
        <v>9705</v>
      </c>
      <c r="M41" s="236">
        <f t="shared" si="0"/>
        <v>107359</v>
      </c>
      <c r="N41" s="221" t="s">
        <v>231</v>
      </c>
      <c r="O41" s="237">
        <f>747250496/4.9</f>
        <v>152500101.22448978</v>
      </c>
      <c r="P41" s="238" t="s">
        <v>393</v>
      </c>
    </row>
    <row r="42" spans="1:16" s="194" customFormat="1" ht="126" customHeight="1">
      <c r="A42" s="183">
        <v>33</v>
      </c>
      <c r="B42" s="229" t="s">
        <v>380</v>
      </c>
      <c r="C42" s="231" t="s">
        <v>270</v>
      </c>
      <c r="D42" s="216" t="s">
        <v>328</v>
      </c>
      <c r="E42" s="216" t="s">
        <v>12</v>
      </c>
      <c r="F42" s="232">
        <v>1108</v>
      </c>
      <c r="G42" s="233">
        <v>95</v>
      </c>
      <c r="H42" s="234">
        <v>0</v>
      </c>
      <c r="I42" s="235">
        <v>0</v>
      </c>
      <c r="J42" s="236">
        <v>155383</v>
      </c>
      <c r="K42" s="236">
        <v>0</v>
      </c>
      <c r="L42" s="236">
        <v>6000</v>
      </c>
      <c r="M42" s="191">
        <f t="shared" si="0"/>
        <v>149383</v>
      </c>
      <c r="N42" s="221" t="s">
        <v>240</v>
      </c>
      <c r="O42" s="237">
        <f>155383540.81/4.9</f>
        <v>31710926.695918366</v>
      </c>
      <c r="P42" s="246" t="s">
        <v>379</v>
      </c>
    </row>
    <row r="43" spans="1:16" s="194" customFormat="1" ht="107.25" customHeight="1">
      <c r="A43" s="183">
        <v>34</v>
      </c>
      <c r="B43" s="230" t="s">
        <v>331</v>
      </c>
      <c r="C43" s="231" t="s">
        <v>270</v>
      </c>
      <c r="D43" s="216" t="s">
        <v>332</v>
      </c>
      <c r="E43" s="216" t="s">
        <v>12</v>
      </c>
      <c r="F43" s="232">
        <v>1108</v>
      </c>
      <c r="G43" s="233">
        <v>95</v>
      </c>
      <c r="H43" s="234">
        <v>0</v>
      </c>
      <c r="I43" s="235">
        <v>0</v>
      </c>
      <c r="J43" s="236">
        <v>188094</v>
      </c>
      <c r="K43" s="236">
        <v>0</v>
      </c>
      <c r="L43" s="236">
        <v>7500</v>
      </c>
      <c r="M43" s="191">
        <f t="shared" si="0"/>
        <v>180594</v>
      </c>
      <c r="N43" s="221" t="s">
        <v>240</v>
      </c>
      <c r="O43" s="237">
        <f>135610806/4.9</f>
        <v>27675674.693877548</v>
      </c>
      <c r="P43" s="238" t="s">
        <v>379</v>
      </c>
    </row>
    <row r="44" spans="1:16" s="194" customFormat="1" ht="99" customHeight="1">
      <c r="A44" s="183">
        <v>35</v>
      </c>
      <c r="B44" s="230" t="s">
        <v>329</v>
      </c>
      <c r="C44" s="231" t="s">
        <v>270</v>
      </c>
      <c r="D44" s="216" t="s">
        <v>330</v>
      </c>
      <c r="E44" s="216" t="s">
        <v>12</v>
      </c>
      <c r="F44" s="232">
        <v>1108</v>
      </c>
      <c r="G44" s="233">
        <v>95</v>
      </c>
      <c r="H44" s="234">
        <v>0</v>
      </c>
      <c r="I44" s="235">
        <v>0</v>
      </c>
      <c r="J44" s="236">
        <v>118050</v>
      </c>
      <c r="K44" s="236">
        <v>0</v>
      </c>
      <c r="L44" s="236">
        <v>5000</v>
      </c>
      <c r="M44" s="191">
        <f t="shared" si="0"/>
        <v>113050</v>
      </c>
      <c r="N44" s="221" t="s">
        <v>231</v>
      </c>
      <c r="O44" s="237">
        <f>79946864/4.9</f>
        <v>16315686.530612243</v>
      </c>
      <c r="P44" s="246" t="s">
        <v>379</v>
      </c>
    </row>
    <row r="45" spans="1:16" s="194" customFormat="1" ht="145.5" customHeight="1">
      <c r="A45" s="183">
        <v>36</v>
      </c>
      <c r="B45" s="230" t="s">
        <v>333</v>
      </c>
      <c r="C45" s="231" t="s">
        <v>270</v>
      </c>
      <c r="D45" s="216" t="s">
        <v>338</v>
      </c>
      <c r="E45" s="216" t="s">
        <v>12</v>
      </c>
      <c r="F45" s="232">
        <v>1108</v>
      </c>
      <c r="G45" s="233">
        <v>95</v>
      </c>
      <c r="H45" s="234">
        <v>0</v>
      </c>
      <c r="I45" s="235">
        <v>0</v>
      </c>
      <c r="J45" s="236">
        <v>144445</v>
      </c>
      <c r="K45" s="236">
        <v>0</v>
      </c>
      <c r="L45" s="236">
        <v>5500</v>
      </c>
      <c r="M45" s="191">
        <f t="shared" si="0"/>
        <v>138945</v>
      </c>
      <c r="N45" s="221" t="s">
        <v>231</v>
      </c>
      <c r="O45" s="237">
        <f>52472616/4.9</f>
        <v>10708697.142857142</v>
      </c>
      <c r="P45" s="238" t="s">
        <v>379</v>
      </c>
    </row>
    <row r="46" spans="1:16" s="194" customFormat="1" ht="110.25" customHeight="1">
      <c r="A46" s="183">
        <v>37</v>
      </c>
      <c r="B46" s="230" t="s">
        <v>334</v>
      </c>
      <c r="C46" s="231" t="s">
        <v>270</v>
      </c>
      <c r="D46" s="216" t="s">
        <v>339</v>
      </c>
      <c r="E46" s="216" t="s">
        <v>12</v>
      </c>
      <c r="F46" s="232">
        <v>1108</v>
      </c>
      <c r="G46" s="233">
        <v>95</v>
      </c>
      <c r="H46" s="234">
        <v>0</v>
      </c>
      <c r="I46" s="235">
        <v>0</v>
      </c>
      <c r="J46" s="236">
        <v>348482</v>
      </c>
      <c r="K46" s="236">
        <v>0</v>
      </c>
      <c r="L46" s="236">
        <v>0</v>
      </c>
      <c r="M46" s="191">
        <f t="shared" si="0"/>
        <v>348482</v>
      </c>
      <c r="N46" s="221" t="s">
        <v>240</v>
      </c>
      <c r="O46" s="237">
        <f>40575148/4.9</f>
        <v>8280642.448979591</v>
      </c>
      <c r="P46" s="238" t="s">
        <v>385</v>
      </c>
    </row>
    <row r="47" spans="1:16" s="194" customFormat="1" ht="107.25" customHeight="1">
      <c r="A47" s="183">
        <v>38</v>
      </c>
      <c r="B47" s="198" t="s">
        <v>282</v>
      </c>
      <c r="C47" s="216" t="s">
        <v>270</v>
      </c>
      <c r="D47" s="200" t="s">
        <v>283</v>
      </c>
      <c r="E47" s="199" t="s">
        <v>12</v>
      </c>
      <c r="F47" s="205">
        <v>1108</v>
      </c>
      <c r="G47" s="201">
        <v>95</v>
      </c>
      <c r="H47" s="202">
        <v>0</v>
      </c>
      <c r="I47" s="189">
        <v>0</v>
      </c>
      <c r="J47" s="191">
        <v>130205</v>
      </c>
      <c r="K47" s="191">
        <v>0</v>
      </c>
      <c r="L47" s="191">
        <v>1</v>
      </c>
      <c r="M47" s="191">
        <f t="shared" si="0"/>
        <v>130204</v>
      </c>
      <c r="N47" s="200" t="s">
        <v>171</v>
      </c>
      <c r="O47" s="203">
        <f>39954005/4.9</f>
        <v>8153878.5714285709</v>
      </c>
      <c r="P47" s="246" t="s">
        <v>378</v>
      </c>
    </row>
    <row r="48" spans="1:16" s="194" customFormat="1" ht="77.25" customHeight="1">
      <c r="A48" s="183">
        <v>39</v>
      </c>
      <c r="B48" s="198" t="s">
        <v>221</v>
      </c>
      <c r="C48" s="186" t="s">
        <v>269</v>
      </c>
      <c r="D48" s="200" t="s">
        <v>168</v>
      </c>
      <c r="E48" s="199" t="s">
        <v>12</v>
      </c>
      <c r="F48" s="205">
        <v>1363</v>
      </c>
      <c r="G48" s="201">
        <v>95</v>
      </c>
      <c r="H48" s="202">
        <v>0</v>
      </c>
      <c r="I48" s="189">
        <v>0</v>
      </c>
      <c r="J48" s="191">
        <v>124489</v>
      </c>
      <c r="K48" s="191">
        <v>0</v>
      </c>
      <c r="L48" s="191">
        <v>2000</v>
      </c>
      <c r="M48" s="191">
        <f t="shared" si="0"/>
        <v>122489</v>
      </c>
      <c r="N48" s="200" t="s">
        <v>231</v>
      </c>
      <c r="O48" s="203">
        <v>5068691</v>
      </c>
      <c r="P48" s="204"/>
    </row>
    <row r="49" spans="1:16" s="194" customFormat="1" ht="77.25" customHeight="1">
      <c r="A49" s="183">
        <v>40</v>
      </c>
      <c r="B49" s="198" t="s">
        <v>353</v>
      </c>
      <c r="C49" s="185" t="s">
        <v>269</v>
      </c>
      <c r="D49" s="199" t="s">
        <v>168</v>
      </c>
      <c r="E49" s="199" t="s">
        <v>12</v>
      </c>
      <c r="F49" s="228">
        <v>1362</v>
      </c>
      <c r="G49" s="201">
        <v>95</v>
      </c>
      <c r="H49" s="202">
        <v>0</v>
      </c>
      <c r="I49" s="189">
        <v>0</v>
      </c>
      <c r="J49" s="191">
        <v>120446</v>
      </c>
      <c r="K49" s="191">
        <v>0</v>
      </c>
      <c r="L49" s="191">
        <v>2000</v>
      </c>
      <c r="M49" s="191">
        <f t="shared" si="0"/>
        <v>118446</v>
      </c>
      <c r="N49" s="200" t="s">
        <v>231</v>
      </c>
      <c r="O49" s="203">
        <f>3395997</f>
        <v>3395997</v>
      </c>
      <c r="P49" s="204"/>
    </row>
    <row r="50" spans="1:16" s="194" customFormat="1" ht="109.5" customHeight="1">
      <c r="A50" s="183">
        <v>41</v>
      </c>
      <c r="B50" s="230" t="s">
        <v>335</v>
      </c>
      <c r="C50" s="231" t="s">
        <v>270</v>
      </c>
      <c r="D50" s="216" t="s">
        <v>340</v>
      </c>
      <c r="E50" s="216" t="s">
        <v>12</v>
      </c>
      <c r="F50" s="232">
        <v>1108</v>
      </c>
      <c r="G50" s="233">
        <v>95</v>
      </c>
      <c r="H50" s="234">
        <v>0</v>
      </c>
      <c r="I50" s="235">
        <v>0</v>
      </c>
      <c r="J50" s="236">
        <v>144489</v>
      </c>
      <c r="K50" s="236">
        <v>0</v>
      </c>
      <c r="L50" s="236">
        <v>5500</v>
      </c>
      <c r="M50" s="191">
        <f t="shared" si="0"/>
        <v>138989</v>
      </c>
      <c r="N50" s="221" t="s">
        <v>240</v>
      </c>
      <c r="O50" s="237">
        <f>415952/4.9</f>
        <v>84888.16326530611</v>
      </c>
      <c r="P50" s="238" t="s">
        <v>379</v>
      </c>
    </row>
    <row r="51" spans="1:16" s="194" customFormat="1" ht="111.75" customHeight="1">
      <c r="A51" s="183">
        <v>42</v>
      </c>
      <c r="B51" s="184" t="s">
        <v>172</v>
      </c>
      <c r="C51" s="186" t="s">
        <v>269</v>
      </c>
      <c r="D51" s="200" t="s">
        <v>166</v>
      </c>
      <c r="E51" s="249" t="s">
        <v>8</v>
      </c>
      <c r="F51" s="250">
        <v>1218</v>
      </c>
      <c r="G51" s="188">
        <v>94.5</v>
      </c>
      <c r="H51" s="189">
        <v>0.59660000000000002</v>
      </c>
      <c r="I51" s="189">
        <v>3.5799999999999998E-2</v>
      </c>
      <c r="J51" s="190">
        <v>18590529</v>
      </c>
      <c r="K51" s="190">
        <v>665535</v>
      </c>
      <c r="L51" s="190">
        <v>715351</v>
      </c>
      <c r="M51" s="191">
        <f t="shared" si="0"/>
        <v>17209643</v>
      </c>
      <c r="N51" s="251">
        <v>2027</v>
      </c>
      <c r="O51" s="208">
        <v>4553071361</v>
      </c>
      <c r="P51" s="209"/>
    </row>
    <row r="52" spans="1:16" s="194" customFormat="1" ht="99.75" customHeight="1">
      <c r="A52" s="183">
        <v>43</v>
      </c>
      <c r="B52" s="239" t="s">
        <v>473</v>
      </c>
      <c r="C52" s="186" t="s">
        <v>269</v>
      </c>
      <c r="D52" s="200" t="s">
        <v>167</v>
      </c>
      <c r="E52" s="240" t="s">
        <v>8</v>
      </c>
      <c r="F52" s="187">
        <v>1191</v>
      </c>
      <c r="G52" s="201">
        <v>94.5</v>
      </c>
      <c r="H52" s="189">
        <v>0.63480000000000003</v>
      </c>
      <c r="I52" s="189">
        <v>0.5474</v>
      </c>
      <c r="J52" s="190">
        <v>11171419</v>
      </c>
      <c r="K52" s="190">
        <v>6056630</v>
      </c>
      <c r="L52" s="190">
        <v>2029535</v>
      </c>
      <c r="M52" s="191">
        <f t="shared" si="0"/>
        <v>3085254</v>
      </c>
      <c r="N52" s="200" t="s">
        <v>298</v>
      </c>
      <c r="O52" s="208">
        <v>2034988000</v>
      </c>
      <c r="P52" s="209"/>
    </row>
    <row r="53" spans="1:16" s="194" customFormat="1" ht="77.25" customHeight="1">
      <c r="A53" s="183">
        <v>44</v>
      </c>
      <c r="B53" s="198" t="s">
        <v>262</v>
      </c>
      <c r="C53" s="186" t="s">
        <v>269</v>
      </c>
      <c r="D53" s="200" t="s">
        <v>166</v>
      </c>
      <c r="E53" s="199" t="s">
        <v>12</v>
      </c>
      <c r="F53" s="228">
        <v>1426</v>
      </c>
      <c r="G53" s="201">
        <v>94.25</v>
      </c>
      <c r="H53" s="202">
        <v>0</v>
      </c>
      <c r="I53" s="189">
        <v>0</v>
      </c>
      <c r="J53" s="191">
        <v>407532</v>
      </c>
      <c r="K53" s="191">
        <v>0</v>
      </c>
      <c r="L53" s="191">
        <v>2544</v>
      </c>
      <c r="M53" s="191">
        <f t="shared" si="0"/>
        <v>404988</v>
      </c>
      <c r="N53" s="229" t="s">
        <v>304</v>
      </c>
      <c r="O53" s="203">
        <f>2553792</f>
        <v>2553792</v>
      </c>
      <c r="P53" s="204"/>
    </row>
    <row r="54" spans="1:16" s="194" customFormat="1" ht="77.25" customHeight="1">
      <c r="A54" s="183">
        <v>45</v>
      </c>
      <c r="B54" s="198" t="s">
        <v>226</v>
      </c>
      <c r="C54" s="186" t="s">
        <v>269</v>
      </c>
      <c r="D54" s="200" t="s">
        <v>166</v>
      </c>
      <c r="E54" s="199" t="s">
        <v>8</v>
      </c>
      <c r="F54" s="205">
        <v>1286</v>
      </c>
      <c r="G54" s="201">
        <v>94</v>
      </c>
      <c r="H54" s="202">
        <v>0</v>
      </c>
      <c r="I54" s="189" t="s">
        <v>244</v>
      </c>
      <c r="J54" s="191">
        <v>719516</v>
      </c>
      <c r="K54" s="191">
        <v>22296</v>
      </c>
      <c r="L54" s="191">
        <v>0</v>
      </c>
      <c r="M54" s="191">
        <f t="shared" si="0"/>
        <v>697220</v>
      </c>
      <c r="N54" s="200" t="s">
        <v>171</v>
      </c>
      <c r="O54" s="203">
        <v>1169334696</v>
      </c>
      <c r="P54" s="204" t="s">
        <v>443</v>
      </c>
    </row>
    <row r="55" spans="1:16" s="194" customFormat="1" ht="77.25" customHeight="1">
      <c r="A55" s="183">
        <v>46</v>
      </c>
      <c r="B55" s="198" t="s">
        <v>193</v>
      </c>
      <c r="C55" s="199" t="s">
        <v>9</v>
      </c>
      <c r="D55" s="200" t="s">
        <v>289</v>
      </c>
      <c r="E55" s="199" t="s">
        <v>8</v>
      </c>
      <c r="F55" s="199">
        <v>1113</v>
      </c>
      <c r="G55" s="201">
        <v>94</v>
      </c>
      <c r="H55" s="202">
        <v>0.6</v>
      </c>
      <c r="I55" s="189">
        <v>0.27</v>
      </c>
      <c r="J55" s="191">
        <v>150224</v>
      </c>
      <c r="K55" s="191">
        <v>40197</v>
      </c>
      <c r="L55" s="191">
        <v>110027</v>
      </c>
      <c r="M55" s="191">
        <f t="shared" si="0"/>
        <v>0</v>
      </c>
      <c r="N55" s="200" t="s">
        <v>170</v>
      </c>
      <c r="O55" s="208">
        <f>258994180/4.8</f>
        <v>53957120.833333336</v>
      </c>
      <c r="P55" s="209"/>
    </row>
    <row r="56" spans="1:16" s="194" customFormat="1" ht="77.25" customHeight="1">
      <c r="A56" s="183">
        <v>47</v>
      </c>
      <c r="B56" s="184" t="s">
        <v>225</v>
      </c>
      <c r="C56" s="186" t="s">
        <v>269</v>
      </c>
      <c r="D56" s="199" t="s">
        <v>166</v>
      </c>
      <c r="E56" s="199" t="s">
        <v>303</v>
      </c>
      <c r="F56" s="205">
        <v>1285</v>
      </c>
      <c r="G56" s="252">
        <v>94</v>
      </c>
      <c r="H56" s="202">
        <v>0</v>
      </c>
      <c r="I56" s="189">
        <v>6.0000000000000001E-3</v>
      </c>
      <c r="J56" s="191">
        <v>883896</v>
      </c>
      <c r="K56" s="191">
        <v>5274</v>
      </c>
      <c r="L56" s="191">
        <v>87067</v>
      </c>
      <c r="M56" s="191">
        <f t="shared" si="0"/>
        <v>791555</v>
      </c>
      <c r="N56" s="200" t="s">
        <v>171</v>
      </c>
      <c r="O56" s="203">
        <v>40106366</v>
      </c>
      <c r="P56" s="204"/>
    </row>
    <row r="57" spans="1:16" s="194" customFormat="1" ht="77.25" customHeight="1">
      <c r="A57" s="183">
        <v>48</v>
      </c>
      <c r="B57" s="198" t="s">
        <v>263</v>
      </c>
      <c r="C57" s="186" t="s">
        <v>269</v>
      </c>
      <c r="D57" s="200" t="s">
        <v>168</v>
      </c>
      <c r="E57" s="199" t="s">
        <v>8</v>
      </c>
      <c r="F57" s="205" t="s">
        <v>362</v>
      </c>
      <c r="G57" s="201">
        <v>94</v>
      </c>
      <c r="H57" s="202">
        <v>0.1</v>
      </c>
      <c r="I57" s="189">
        <v>5.7599999999999998E-2</v>
      </c>
      <c r="J57" s="191">
        <v>120976</v>
      </c>
      <c r="K57" s="191">
        <v>4576</v>
      </c>
      <c r="L57" s="191">
        <v>32125</v>
      </c>
      <c r="M57" s="191">
        <f t="shared" si="0"/>
        <v>84275</v>
      </c>
      <c r="N57" s="200" t="s">
        <v>171</v>
      </c>
      <c r="O57" s="203">
        <v>7430999</v>
      </c>
      <c r="P57" s="204" t="s">
        <v>398</v>
      </c>
    </row>
    <row r="58" spans="1:16" s="194" customFormat="1" ht="77.25" customHeight="1">
      <c r="A58" s="183">
        <v>49</v>
      </c>
      <c r="B58" s="198" t="s">
        <v>323</v>
      </c>
      <c r="C58" s="231" t="s">
        <v>269</v>
      </c>
      <c r="D58" s="216" t="s">
        <v>166</v>
      </c>
      <c r="E58" s="199" t="s">
        <v>8</v>
      </c>
      <c r="F58" s="228">
        <v>1371</v>
      </c>
      <c r="G58" s="201">
        <v>94</v>
      </c>
      <c r="H58" s="202">
        <v>0</v>
      </c>
      <c r="I58" s="189">
        <v>0</v>
      </c>
      <c r="J58" s="191">
        <v>5449984</v>
      </c>
      <c r="K58" s="191">
        <v>61974</v>
      </c>
      <c r="L58" s="191">
        <v>8463</v>
      </c>
      <c r="M58" s="191">
        <f t="shared" si="0"/>
        <v>5379547</v>
      </c>
      <c r="N58" s="200" t="s">
        <v>431</v>
      </c>
      <c r="O58" s="203">
        <f>690.58*1000</f>
        <v>690580</v>
      </c>
      <c r="P58" s="204"/>
    </row>
    <row r="59" spans="1:16" s="194" customFormat="1" ht="247.5" customHeight="1">
      <c r="A59" s="183">
        <v>50</v>
      </c>
      <c r="B59" s="198" t="s">
        <v>145</v>
      </c>
      <c r="C59" s="186" t="s">
        <v>269</v>
      </c>
      <c r="D59" s="200" t="s">
        <v>168</v>
      </c>
      <c r="E59" s="199" t="s">
        <v>8</v>
      </c>
      <c r="F59" s="205">
        <v>370</v>
      </c>
      <c r="G59" s="201">
        <v>93.5</v>
      </c>
      <c r="H59" s="189">
        <v>0.91669999999999996</v>
      </c>
      <c r="I59" s="189">
        <v>0.96919999999999995</v>
      </c>
      <c r="J59" s="191">
        <v>219983</v>
      </c>
      <c r="K59" s="191">
        <v>213217</v>
      </c>
      <c r="L59" s="191">
        <v>1050</v>
      </c>
      <c r="M59" s="191">
        <f t="shared" si="0"/>
        <v>5716</v>
      </c>
      <c r="N59" s="199">
        <v>2022</v>
      </c>
      <c r="O59" s="208">
        <v>160000000</v>
      </c>
      <c r="P59" s="389" t="s">
        <v>396</v>
      </c>
    </row>
    <row r="60" spans="1:16" s="194" customFormat="1" ht="77.25" customHeight="1">
      <c r="A60" s="183">
        <v>51</v>
      </c>
      <c r="B60" s="211" t="s">
        <v>14</v>
      </c>
      <c r="C60" s="186" t="s">
        <v>275</v>
      </c>
      <c r="D60" s="200" t="s">
        <v>275</v>
      </c>
      <c r="E60" s="212" t="s">
        <v>8</v>
      </c>
      <c r="F60" s="213">
        <v>1125</v>
      </c>
      <c r="G60" s="188">
        <v>93.5</v>
      </c>
      <c r="H60" s="189">
        <v>0.995</v>
      </c>
      <c r="I60" s="189">
        <v>0.88300000000000001</v>
      </c>
      <c r="J60" s="190">
        <v>334226</v>
      </c>
      <c r="K60" s="190">
        <v>291901</v>
      </c>
      <c r="L60" s="190">
        <v>41555</v>
      </c>
      <c r="M60" s="191">
        <f t="shared" si="0"/>
        <v>770</v>
      </c>
      <c r="N60" s="186" t="s">
        <v>352</v>
      </c>
      <c r="O60" s="203">
        <v>36235436</v>
      </c>
      <c r="P60" s="253" t="s">
        <v>430</v>
      </c>
    </row>
    <row r="61" spans="1:16" s="194" customFormat="1" ht="84" customHeight="1">
      <c r="A61" s="183">
        <v>52</v>
      </c>
      <c r="B61" s="184" t="s">
        <v>78</v>
      </c>
      <c r="C61" s="186" t="s">
        <v>269</v>
      </c>
      <c r="D61" s="200" t="s">
        <v>166</v>
      </c>
      <c r="E61" s="186" t="s">
        <v>8</v>
      </c>
      <c r="F61" s="187">
        <v>1217</v>
      </c>
      <c r="G61" s="188">
        <v>93</v>
      </c>
      <c r="H61" s="189">
        <v>0.59430000000000005</v>
      </c>
      <c r="I61" s="189">
        <v>0.56659999999999999</v>
      </c>
      <c r="J61" s="190">
        <v>2593744</v>
      </c>
      <c r="K61" s="190">
        <v>1469508</v>
      </c>
      <c r="L61" s="190">
        <v>447302</v>
      </c>
      <c r="M61" s="191">
        <f t="shared" si="0"/>
        <v>676934</v>
      </c>
      <c r="N61" s="185" t="s">
        <v>359</v>
      </c>
      <c r="O61" s="208">
        <v>477530000</v>
      </c>
      <c r="P61" s="253"/>
    </row>
    <row r="62" spans="1:16" s="194" customFormat="1" ht="106.5" customHeight="1">
      <c r="A62" s="183">
        <v>53</v>
      </c>
      <c r="B62" s="198" t="s">
        <v>233</v>
      </c>
      <c r="C62" s="185" t="s">
        <v>270</v>
      </c>
      <c r="D62" s="200" t="s">
        <v>273</v>
      </c>
      <c r="E62" s="199" t="s">
        <v>8</v>
      </c>
      <c r="F62" s="205">
        <v>1107</v>
      </c>
      <c r="G62" s="201">
        <v>93</v>
      </c>
      <c r="H62" s="202">
        <v>0.03</v>
      </c>
      <c r="I62" s="189">
        <v>2.8000000000000001E-2</v>
      </c>
      <c r="J62" s="191">
        <v>119130</v>
      </c>
      <c r="K62" s="191">
        <v>2531</v>
      </c>
      <c r="L62" s="191">
        <v>38044</v>
      </c>
      <c r="M62" s="191">
        <f t="shared" si="0"/>
        <v>78555</v>
      </c>
      <c r="N62" s="200" t="s">
        <v>231</v>
      </c>
      <c r="O62" s="203">
        <f>7815000/4.8</f>
        <v>1628125</v>
      </c>
      <c r="P62" s="204"/>
    </row>
    <row r="63" spans="1:16" s="194" customFormat="1" ht="77.25" customHeight="1">
      <c r="A63" s="183">
        <v>54</v>
      </c>
      <c r="B63" s="222" t="s">
        <v>69</v>
      </c>
      <c r="C63" s="186" t="s">
        <v>269</v>
      </c>
      <c r="D63" s="200" t="s">
        <v>166</v>
      </c>
      <c r="E63" s="212" t="s">
        <v>8</v>
      </c>
      <c r="F63" s="213">
        <v>718</v>
      </c>
      <c r="G63" s="201">
        <v>92.5</v>
      </c>
      <c r="H63" s="189">
        <v>0.46260000000000001</v>
      </c>
      <c r="I63" s="189">
        <v>0.39960000000000001</v>
      </c>
      <c r="J63" s="191">
        <v>522449</v>
      </c>
      <c r="K63" s="191">
        <v>208751</v>
      </c>
      <c r="L63" s="191">
        <v>70696</v>
      </c>
      <c r="M63" s="191">
        <f t="shared" si="0"/>
        <v>243002</v>
      </c>
      <c r="N63" s="254" t="s">
        <v>358</v>
      </c>
      <c r="O63" s="255">
        <v>478345930</v>
      </c>
      <c r="P63" s="209"/>
    </row>
    <row r="64" spans="1:16" s="194" customFormat="1" ht="100.5" customHeight="1">
      <c r="A64" s="183">
        <v>55</v>
      </c>
      <c r="B64" s="239" t="s">
        <v>133</v>
      </c>
      <c r="C64" s="186" t="s">
        <v>269</v>
      </c>
      <c r="D64" s="200" t="s">
        <v>167</v>
      </c>
      <c r="E64" s="240" t="s">
        <v>8</v>
      </c>
      <c r="F64" s="241">
        <v>1002</v>
      </c>
      <c r="G64" s="220">
        <v>91.5</v>
      </c>
      <c r="H64" s="207">
        <v>0.99</v>
      </c>
      <c r="I64" s="207">
        <v>0.88380000000000003</v>
      </c>
      <c r="J64" s="190">
        <v>1556121</v>
      </c>
      <c r="K64" s="190">
        <v>1245163</v>
      </c>
      <c r="L64" s="190">
        <v>56900</v>
      </c>
      <c r="M64" s="191">
        <f t="shared" si="0"/>
        <v>254058</v>
      </c>
      <c r="N64" s="205">
        <v>2022</v>
      </c>
      <c r="O64" s="208">
        <f>1378331000/4.8</f>
        <v>287152291.66666669</v>
      </c>
      <c r="P64" s="242" t="s">
        <v>369</v>
      </c>
    </row>
    <row r="65" spans="1:16" s="194" customFormat="1" ht="95.25" customHeight="1">
      <c r="A65" s="183">
        <v>56</v>
      </c>
      <c r="B65" s="230" t="s">
        <v>336</v>
      </c>
      <c r="C65" s="231" t="s">
        <v>270</v>
      </c>
      <c r="D65" s="216" t="s">
        <v>342</v>
      </c>
      <c r="E65" s="216" t="s">
        <v>8</v>
      </c>
      <c r="F65" s="232">
        <v>1107</v>
      </c>
      <c r="G65" s="233">
        <v>91</v>
      </c>
      <c r="H65" s="234">
        <v>0.28000000000000003</v>
      </c>
      <c r="I65" s="235">
        <v>0.1</v>
      </c>
      <c r="J65" s="236">
        <v>121023</v>
      </c>
      <c r="K65" s="236">
        <v>5575</v>
      </c>
      <c r="L65" s="236">
        <v>12000</v>
      </c>
      <c r="M65" s="191">
        <f t="shared" si="0"/>
        <v>103448</v>
      </c>
      <c r="N65" s="221" t="s">
        <v>240</v>
      </c>
      <c r="O65" s="237">
        <f>61525748/4.9</f>
        <v>12556275.102040816</v>
      </c>
      <c r="P65" s="238"/>
    </row>
    <row r="66" spans="1:16" s="194" customFormat="1" ht="77.25" customHeight="1">
      <c r="A66" s="183">
        <v>57</v>
      </c>
      <c r="B66" s="198" t="s">
        <v>276</v>
      </c>
      <c r="C66" s="216" t="s">
        <v>76</v>
      </c>
      <c r="D66" s="200" t="s">
        <v>76</v>
      </c>
      <c r="E66" s="199" t="s">
        <v>8</v>
      </c>
      <c r="F66" s="226">
        <v>1376</v>
      </c>
      <c r="G66" s="201">
        <v>91</v>
      </c>
      <c r="H66" s="202">
        <v>0</v>
      </c>
      <c r="I66" s="189">
        <v>3.2500000000000001E-2</v>
      </c>
      <c r="J66" s="191">
        <v>111119</v>
      </c>
      <c r="K66" s="191">
        <v>3613</v>
      </c>
      <c r="L66" s="191">
        <v>30410</v>
      </c>
      <c r="M66" s="191">
        <f t="shared" si="0"/>
        <v>77096</v>
      </c>
      <c r="N66" s="200" t="s">
        <v>231</v>
      </c>
      <c r="O66" s="203">
        <f>14477896.81/4.9</f>
        <v>2954672.8183673467</v>
      </c>
      <c r="P66" s="204"/>
    </row>
    <row r="67" spans="1:16" s="194" customFormat="1" ht="77.25" customHeight="1">
      <c r="A67" s="183">
        <v>58</v>
      </c>
      <c r="B67" s="198" t="s">
        <v>21</v>
      </c>
      <c r="C67" s="186" t="s">
        <v>269</v>
      </c>
      <c r="D67" s="200" t="s">
        <v>166</v>
      </c>
      <c r="E67" s="199" t="s">
        <v>8</v>
      </c>
      <c r="F67" s="205">
        <v>1042</v>
      </c>
      <c r="G67" s="220">
        <v>90.5</v>
      </c>
      <c r="H67" s="206">
        <v>0.625</v>
      </c>
      <c r="I67" s="189">
        <v>0.29349999999999998</v>
      </c>
      <c r="J67" s="191">
        <v>453532</v>
      </c>
      <c r="K67" s="191">
        <v>133129</v>
      </c>
      <c r="L67" s="191">
        <v>111022</v>
      </c>
      <c r="M67" s="191">
        <f t="shared" ref="M67:M114" si="1">J67-K67-L67</f>
        <v>209381</v>
      </c>
      <c r="N67" s="200" t="s">
        <v>444</v>
      </c>
      <c r="O67" s="192">
        <v>167688000</v>
      </c>
      <c r="P67" s="209"/>
    </row>
    <row r="68" spans="1:16" s="194" customFormat="1" ht="79.5" customHeight="1">
      <c r="A68" s="183">
        <v>59</v>
      </c>
      <c r="B68" s="198" t="s">
        <v>474</v>
      </c>
      <c r="C68" s="186" t="s">
        <v>269</v>
      </c>
      <c r="D68" s="200" t="s">
        <v>169</v>
      </c>
      <c r="E68" s="199" t="s">
        <v>8</v>
      </c>
      <c r="F68" s="205">
        <v>828</v>
      </c>
      <c r="G68" s="201">
        <v>90</v>
      </c>
      <c r="H68" s="189">
        <v>0</v>
      </c>
      <c r="I68" s="189">
        <v>2.3E-2</v>
      </c>
      <c r="J68" s="191">
        <v>6433979</v>
      </c>
      <c r="K68" s="191">
        <v>136304</v>
      </c>
      <c r="L68" s="191">
        <v>393878</v>
      </c>
      <c r="M68" s="191">
        <f t="shared" si="1"/>
        <v>5903797</v>
      </c>
      <c r="N68" s="200" t="s">
        <v>173</v>
      </c>
      <c r="O68" s="208">
        <f>1463.83*1000000</f>
        <v>1463830000</v>
      </c>
      <c r="P68" s="209"/>
    </row>
    <row r="69" spans="1:16" s="194" customFormat="1" ht="77.25" customHeight="1">
      <c r="A69" s="183">
        <v>60</v>
      </c>
      <c r="B69" s="198" t="s">
        <v>192</v>
      </c>
      <c r="C69" s="199" t="s">
        <v>9</v>
      </c>
      <c r="D69" s="200" t="s">
        <v>290</v>
      </c>
      <c r="E69" s="199" t="s">
        <v>8</v>
      </c>
      <c r="F69" s="199">
        <v>1139</v>
      </c>
      <c r="G69" s="201">
        <v>90</v>
      </c>
      <c r="H69" s="207">
        <v>0</v>
      </c>
      <c r="I69" s="189">
        <v>2.5999999999999998E-4</v>
      </c>
      <c r="J69" s="191">
        <v>511628</v>
      </c>
      <c r="K69" s="191">
        <v>740</v>
      </c>
      <c r="L69" s="191">
        <v>12322</v>
      </c>
      <c r="M69" s="191">
        <f t="shared" si="1"/>
        <v>498566</v>
      </c>
      <c r="N69" s="200" t="s">
        <v>240</v>
      </c>
      <c r="O69" s="208">
        <f>3081486730/4.8</f>
        <v>641976402.08333337</v>
      </c>
      <c r="P69" s="209"/>
    </row>
    <row r="70" spans="1:16" s="194" customFormat="1" ht="102.75" customHeight="1">
      <c r="A70" s="183">
        <v>61</v>
      </c>
      <c r="B70" s="230" t="s">
        <v>337</v>
      </c>
      <c r="C70" s="231" t="s">
        <v>270</v>
      </c>
      <c r="D70" s="216" t="s">
        <v>341</v>
      </c>
      <c r="E70" s="216" t="s">
        <v>12</v>
      </c>
      <c r="F70" s="232">
        <v>1108</v>
      </c>
      <c r="G70" s="233">
        <v>90</v>
      </c>
      <c r="H70" s="234">
        <v>0</v>
      </c>
      <c r="I70" s="235">
        <v>0</v>
      </c>
      <c r="J70" s="236">
        <v>642051</v>
      </c>
      <c r="K70" s="236">
        <v>0</v>
      </c>
      <c r="L70" s="236">
        <v>100</v>
      </c>
      <c r="M70" s="191">
        <f t="shared" si="1"/>
        <v>641951</v>
      </c>
      <c r="N70" s="221" t="s">
        <v>298</v>
      </c>
      <c r="O70" s="237">
        <f>491652633/4.9</f>
        <v>100337272.04081632</v>
      </c>
      <c r="P70" s="238" t="s">
        <v>385</v>
      </c>
    </row>
    <row r="71" spans="1:16" s="194" customFormat="1" ht="77.25" customHeight="1">
      <c r="A71" s="183">
        <v>62</v>
      </c>
      <c r="B71" s="230" t="s">
        <v>350</v>
      </c>
      <c r="C71" s="231" t="s">
        <v>76</v>
      </c>
      <c r="D71" s="216" t="s">
        <v>76</v>
      </c>
      <c r="E71" s="216" t="s">
        <v>12</v>
      </c>
      <c r="F71" s="228" t="s">
        <v>79</v>
      </c>
      <c r="G71" s="233">
        <v>90</v>
      </c>
      <c r="H71" s="234">
        <v>0</v>
      </c>
      <c r="I71" s="235">
        <v>1.5E-3</v>
      </c>
      <c r="J71" s="236">
        <v>206705</v>
      </c>
      <c r="K71" s="236">
        <v>306</v>
      </c>
      <c r="L71" s="236">
        <v>22000</v>
      </c>
      <c r="M71" s="191">
        <f t="shared" si="1"/>
        <v>184399</v>
      </c>
      <c r="N71" s="221" t="s">
        <v>240</v>
      </c>
      <c r="O71" s="237">
        <f>45584946/4.9</f>
        <v>9303050.2040816322</v>
      </c>
      <c r="P71" s="238" t="s">
        <v>437</v>
      </c>
    </row>
    <row r="72" spans="1:16" s="194" customFormat="1" ht="77.25" customHeight="1">
      <c r="A72" s="183">
        <v>63</v>
      </c>
      <c r="B72" s="184" t="s">
        <v>182</v>
      </c>
      <c r="C72" s="185" t="s">
        <v>232</v>
      </c>
      <c r="D72" s="185" t="s">
        <v>191</v>
      </c>
      <c r="E72" s="186" t="s">
        <v>8</v>
      </c>
      <c r="F72" s="195">
        <v>1279</v>
      </c>
      <c r="G72" s="188">
        <v>90</v>
      </c>
      <c r="H72" s="189">
        <v>0</v>
      </c>
      <c r="I72" s="189">
        <v>0.03</v>
      </c>
      <c r="J72" s="191">
        <v>95880</v>
      </c>
      <c r="K72" s="191">
        <v>1657</v>
      </c>
      <c r="L72" s="191">
        <v>15447</v>
      </c>
      <c r="M72" s="191">
        <f t="shared" si="1"/>
        <v>78776</v>
      </c>
      <c r="N72" s="185" t="s">
        <v>231</v>
      </c>
      <c r="O72" s="190">
        <f>37133000/4.8</f>
        <v>7736041.666666667</v>
      </c>
      <c r="P72" s="258" t="s">
        <v>391</v>
      </c>
    </row>
    <row r="73" spans="1:16" s="194" customFormat="1" ht="84.75" customHeight="1">
      <c r="A73" s="183">
        <v>64</v>
      </c>
      <c r="B73" s="259" t="s">
        <v>140</v>
      </c>
      <c r="C73" s="186" t="s">
        <v>269</v>
      </c>
      <c r="D73" s="200" t="s">
        <v>166</v>
      </c>
      <c r="E73" s="260" t="s">
        <v>8</v>
      </c>
      <c r="F73" s="250">
        <v>371</v>
      </c>
      <c r="G73" s="201">
        <v>89.5</v>
      </c>
      <c r="H73" s="207">
        <v>0</v>
      </c>
      <c r="I73" s="207">
        <v>2.3900000000000001E-2</v>
      </c>
      <c r="J73" s="190">
        <v>4238477</v>
      </c>
      <c r="K73" s="190">
        <v>101506</v>
      </c>
      <c r="L73" s="190">
        <v>171568</v>
      </c>
      <c r="M73" s="191">
        <f t="shared" si="1"/>
        <v>3965403</v>
      </c>
      <c r="N73" s="261" t="s">
        <v>171</v>
      </c>
      <c r="O73" s="208">
        <v>124590000</v>
      </c>
      <c r="P73" s="209"/>
    </row>
    <row r="74" spans="1:16" s="194" customFormat="1" ht="77.25" customHeight="1">
      <c r="A74" s="183">
        <v>65</v>
      </c>
      <c r="B74" s="198" t="s">
        <v>57</v>
      </c>
      <c r="C74" s="186" t="s">
        <v>269</v>
      </c>
      <c r="D74" s="199" t="s">
        <v>166</v>
      </c>
      <c r="E74" s="199" t="s">
        <v>8</v>
      </c>
      <c r="F74" s="205">
        <v>1287</v>
      </c>
      <c r="G74" s="201">
        <v>89</v>
      </c>
      <c r="H74" s="206">
        <v>0</v>
      </c>
      <c r="I74" s="189">
        <v>1E-4</v>
      </c>
      <c r="J74" s="191">
        <v>1373888</v>
      </c>
      <c r="K74" s="191">
        <v>132</v>
      </c>
      <c r="L74" s="191">
        <v>14564</v>
      </c>
      <c r="M74" s="191">
        <f t="shared" si="1"/>
        <v>1359192</v>
      </c>
      <c r="N74" s="262">
        <v>2023</v>
      </c>
      <c r="O74" s="192">
        <f>2644*1000000</f>
        <v>2644000000</v>
      </c>
      <c r="P74" s="209"/>
    </row>
    <row r="75" spans="1:16" s="194" customFormat="1" ht="77.25" customHeight="1">
      <c r="A75" s="183">
        <v>66</v>
      </c>
      <c r="B75" s="198" t="s">
        <v>257</v>
      </c>
      <c r="C75" s="186" t="s">
        <v>269</v>
      </c>
      <c r="D75" s="200" t="s">
        <v>166</v>
      </c>
      <c r="E75" s="199" t="s">
        <v>8</v>
      </c>
      <c r="F75" s="205">
        <v>1324</v>
      </c>
      <c r="G75" s="201">
        <v>89</v>
      </c>
      <c r="H75" s="202">
        <v>0</v>
      </c>
      <c r="I75" s="189">
        <v>1.5E-3</v>
      </c>
      <c r="J75" s="191">
        <v>195355</v>
      </c>
      <c r="K75" s="191">
        <v>288</v>
      </c>
      <c r="L75" s="191">
        <v>6459</v>
      </c>
      <c r="M75" s="191">
        <f t="shared" si="1"/>
        <v>188608</v>
      </c>
      <c r="N75" s="200" t="s">
        <v>171</v>
      </c>
      <c r="O75" s="203">
        <f>239179*1000</f>
        <v>239179000</v>
      </c>
      <c r="P75" s="204"/>
    </row>
    <row r="76" spans="1:16" s="194" customFormat="1" ht="77.25" customHeight="1">
      <c r="A76" s="183">
        <v>67</v>
      </c>
      <c r="B76" s="198" t="s">
        <v>259</v>
      </c>
      <c r="C76" s="186" t="s">
        <v>269</v>
      </c>
      <c r="D76" s="200" t="s">
        <v>166</v>
      </c>
      <c r="E76" s="199" t="s">
        <v>8</v>
      </c>
      <c r="F76" s="205">
        <v>1356</v>
      </c>
      <c r="G76" s="201">
        <v>89</v>
      </c>
      <c r="H76" s="202">
        <v>0</v>
      </c>
      <c r="I76" s="189">
        <v>0</v>
      </c>
      <c r="J76" s="191">
        <v>183114</v>
      </c>
      <c r="K76" s="191">
        <v>0</v>
      </c>
      <c r="L76" s="191">
        <v>1000</v>
      </c>
      <c r="M76" s="191">
        <f t="shared" si="1"/>
        <v>182114</v>
      </c>
      <c r="N76" s="200" t="s">
        <v>171</v>
      </c>
      <c r="O76" s="203">
        <f>179983.04*1000</f>
        <v>179983040</v>
      </c>
      <c r="P76" s="204"/>
    </row>
    <row r="77" spans="1:16" s="194" customFormat="1" ht="77.25" customHeight="1">
      <c r="A77" s="183">
        <v>68</v>
      </c>
      <c r="B77" s="198" t="s">
        <v>258</v>
      </c>
      <c r="C77" s="186" t="s">
        <v>269</v>
      </c>
      <c r="D77" s="200" t="s">
        <v>166</v>
      </c>
      <c r="E77" s="199" t="s">
        <v>8</v>
      </c>
      <c r="F77" s="205">
        <v>1317</v>
      </c>
      <c r="G77" s="201">
        <v>89</v>
      </c>
      <c r="H77" s="202">
        <v>0</v>
      </c>
      <c r="I77" s="189">
        <v>3.2000000000000002E-3</v>
      </c>
      <c r="J77" s="191">
        <v>355432</v>
      </c>
      <c r="K77" s="191">
        <v>1132</v>
      </c>
      <c r="L77" s="191">
        <v>66458</v>
      </c>
      <c r="M77" s="191">
        <f t="shared" si="1"/>
        <v>287842</v>
      </c>
      <c r="N77" s="200" t="s">
        <v>171</v>
      </c>
      <c r="O77" s="203">
        <f>105098*1000</f>
        <v>105098000</v>
      </c>
      <c r="P77" s="204"/>
    </row>
    <row r="78" spans="1:16" s="194" customFormat="1" ht="77.25" customHeight="1">
      <c r="A78" s="183">
        <v>69</v>
      </c>
      <c r="B78" s="198" t="s">
        <v>277</v>
      </c>
      <c r="C78" s="199" t="s">
        <v>76</v>
      </c>
      <c r="D78" s="200" t="s">
        <v>76</v>
      </c>
      <c r="E78" s="199" t="s">
        <v>8</v>
      </c>
      <c r="F78" s="226">
        <v>1375</v>
      </c>
      <c r="G78" s="201">
        <v>89</v>
      </c>
      <c r="H78" s="202">
        <v>0</v>
      </c>
      <c r="I78" s="189">
        <v>2.2000000000000001E-3</v>
      </c>
      <c r="J78" s="191">
        <v>134846</v>
      </c>
      <c r="K78" s="191">
        <v>0</v>
      </c>
      <c r="L78" s="191">
        <v>2600</v>
      </c>
      <c r="M78" s="191">
        <f t="shared" si="1"/>
        <v>132246</v>
      </c>
      <c r="N78" s="200" t="s">
        <v>240</v>
      </c>
      <c r="O78" s="203">
        <f>252149972/4.9</f>
        <v>51459177.959183671</v>
      </c>
      <c r="P78" s="204"/>
    </row>
    <row r="79" spans="1:16" s="194" customFormat="1" ht="77.25" customHeight="1">
      <c r="A79" s="183">
        <v>70</v>
      </c>
      <c r="B79" s="387" t="s">
        <v>475</v>
      </c>
      <c r="C79" s="186" t="s">
        <v>269</v>
      </c>
      <c r="D79" s="200" t="s">
        <v>166</v>
      </c>
      <c r="E79" s="216" t="s">
        <v>8</v>
      </c>
      <c r="F79" s="264">
        <v>1322</v>
      </c>
      <c r="G79" s="265">
        <v>89</v>
      </c>
      <c r="H79" s="266">
        <v>0</v>
      </c>
      <c r="I79" s="235">
        <v>4.9399999999999999E-2</v>
      </c>
      <c r="J79" s="236">
        <v>133429</v>
      </c>
      <c r="K79" s="236">
        <v>6592</v>
      </c>
      <c r="L79" s="236">
        <v>20000</v>
      </c>
      <c r="M79" s="191">
        <f t="shared" si="1"/>
        <v>106837</v>
      </c>
      <c r="N79" s="221" t="s">
        <v>171</v>
      </c>
      <c r="O79" s="267">
        <f>(69.272*1000000)/4.8</f>
        <v>14431666.666666668</v>
      </c>
      <c r="P79" s="209"/>
    </row>
    <row r="80" spans="1:16" s="194" customFormat="1" ht="77.25" customHeight="1">
      <c r="A80" s="183">
        <v>71</v>
      </c>
      <c r="B80" s="198" t="s">
        <v>229</v>
      </c>
      <c r="C80" s="186" t="s">
        <v>269</v>
      </c>
      <c r="D80" s="200" t="s">
        <v>166</v>
      </c>
      <c r="E80" s="199" t="s">
        <v>8</v>
      </c>
      <c r="F80" s="205">
        <v>1297</v>
      </c>
      <c r="G80" s="201">
        <v>89</v>
      </c>
      <c r="H80" s="202">
        <v>0</v>
      </c>
      <c r="I80" s="189">
        <v>0.186</v>
      </c>
      <c r="J80" s="191">
        <v>261075</v>
      </c>
      <c r="K80" s="191">
        <v>48566</v>
      </c>
      <c r="L80" s="191">
        <v>56971</v>
      </c>
      <c r="M80" s="191">
        <f t="shared" si="1"/>
        <v>155538</v>
      </c>
      <c r="N80" s="200" t="s">
        <v>231</v>
      </c>
      <c r="O80" s="203">
        <v>12135864</v>
      </c>
      <c r="P80" s="204"/>
    </row>
    <row r="81" spans="1:16" s="194" customFormat="1" ht="77.25" customHeight="1">
      <c r="A81" s="183">
        <v>72</v>
      </c>
      <c r="B81" s="268" t="s">
        <v>136</v>
      </c>
      <c r="C81" s="186" t="s">
        <v>269</v>
      </c>
      <c r="D81" s="200" t="s">
        <v>166</v>
      </c>
      <c r="E81" s="212" t="s">
        <v>8</v>
      </c>
      <c r="F81" s="213">
        <v>1225</v>
      </c>
      <c r="G81" s="188">
        <v>89</v>
      </c>
      <c r="H81" s="189">
        <v>0</v>
      </c>
      <c r="I81" s="189">
        <v>0.15670000000000001</v>
      </c>
      <c r="J81" s="190">
        <v>365956</v>
      </c>
      <c r="K81" s="190">
        <v>57339</v>
      </c>
      <c r="L81" s="190">
        <v>46127</v>
      </c>
      <c r="M81" s="191">
        <f t="shared" si="1"/>
        <v>262490</v>
      </c>
      <c r="N81" s="205">
        <v>2023</v>
      </c>
      <c r="O81" s="208">
        <v>2866695</v>
      </c>
      <c r="P81" s="209"/>
    </row>
    <row r="82" spans="1:16" s="194" customFormat="1" ht="77.25" customHeight="1">
      <c r="A82" s="183">
        <v>73</v>
      </c>
      <c r="B82" s="198" t="s">
        <v>261</v>
      </c>
      <c r="C82" s="186" t="s">
        <v>269</v>
      </c>
      <c r="D82" s="200" t="s">
        <v>166</v>
      </c>
      <c r="E82" s="199" t="s">
        <v>12</v>
      </c>
      <c r="F82" s="228" t="s">
        <v>79</v>
      </c>
      <c r="G82" s="201">
        <v>88.5</v>
      </c>
      <c r="H82" s="202">
        <v>0</v>
      </c>
      <c r="I82" s="189">
        <v>0</v>
      </c>
      <c r="J82" s="191">
        <v>392160</v>
      </c>
      <c r="K82" s="191">
        <v>0</v>
      </c>
      <c r="L82" s="191">
        <v>0</v>
      </c>
      <c r="M82" s="191">
        <f t="shared" si="1"/>
        <v>392160</v>
      </c>
      <c r="N82" s="200" t="s">
        <v>231</v>
      </c>
      <c r="O82" s="203">
        <f>181207*1000</f>
        <v>181207000</v>
      </c>
      <c r="P82" s="204"/>
    </row>
    <row r="83" spans="1:16" s="194" customFormat="1" ht="77.25" customHeight="1">
      <c r="A83" s="183">
        <v>74</v>
      </c>
      <c r="B83" s="269" t="s">
        <v>137</v>
      </c>
      <c r="C83" s="186" t="s">
        <v>269</v>
      </c>
      <c r="D83" s="200" t="s">
        <v>168</v>
      </c>
      <c r="E83" s="270" t="s">
        <v>8</v>
      </c>
      <c r="F83" s="271" t="s">
        <v>363</v>
      </c>
      <c r="G83" s="188">
        <v>88</v>
      </c>
      <c r="H83" s="189">
        <v>5.0000000000000001E-4</v>
      </c>
      <c r="I83" s="189">
        <v>2.3E-3</v>
      </c>
      <c r="J83" s="190">
        <v>374047</v>
      </c>
      <c r="K83" s="190">
        <v>3839</v>
      </c>
      <c r="L83" s="190">
        <v>24134</v>
      </c>
      <c r="M83" s="191">
        <f t="shared" si="1"/>
        <v>346074</v>
      </c>
      <c r="N83" s="205">
        <v>2026</v>
      </c>
      <c r="O83" s="192">
        <v>82740000</v>
      </c>
      <c r="P83" s="209"/>
    </row>
    <row r="84" spans="1:16" s="194" customFormat="1" ht="124.5" customHeight="1">
      <c r="A84" s="183">
        <v>75</v>
      </c>
      <c r="B84" s="198" t="s">
        <v>239</v>
      </c>
      <c r="C84" s="186" t="s">
        <v>269</v>
      </c>
      <c r="D84" s="199" t="s">
        <v>168</v>
      </c>
      <c r="E84" s="199" t="s">
        <v>8</v>
      </c>
      <c r="F84" s="205">
        <v>16702</v>
      </c>
      <c r="G84" s="201">
        <v>87.5</v>
      </c>
      <c r="H84" s="202">
        <v>0</v>
      </c>
      <c r="I84" s="189">
        <v>2.2700000000000001E-2</v>
      </c>
      <c r="J84" s="191">
        <v>455120</v>
      </c>
      <c r="K84" s="191">
        <v>10340</v>
      </c>
      <c r="L84" s="191">
        <v>20240</v>
      </c>
      <c r="M84" s="191">
        <f t="shared" si="1"/>
        <v>424540</v>
      </c>
      <c r="N84" s="200" t="s">
        <v>231</v>
      </c>
      <c r="O84" s="208">
        <f>490681494/4.8</f>
        <v>102225311.25</v>
      </c>
      <c r="P84" s="388" t="s">
        <v>397</v>
      </c>
    </row>
    <row r="85" spans="1:16" s="194" customFormat="1" ht="77.25" customHeight="1">
      <c r="A85" s="183">
        <v>76</v>
      </c>
      <c r="B85" s="222" t="s">
        <v>68</v>
      </c>
      <c r="C85" s="186" t="s">
        <v>269</v>
      </c>
      <c r="D85" s="200" t="s">
        <v>166</v>
      </c>
      <c r="E85" s="212" t="s">
        <v>8</v>
      </c>
      <c r="F85" s="213">
        <v>1163</v>
      </c>
      <c r="G85" s="188">
        <v>87.5</v>
      </c>
      <c r="H85" s="189">
        <v>0.32</v>
      </c>
      <c r="I85" s="189">
        <v>0.1865</v>
      </c>
      <c r="J85" s="190">
        <v>202712</v>
      </c>
      <c r="K85" s="190">
        <v>37801</v>
      </c>
      <c r="L85" s="190">
        <v>46967</v>
      </c>
      <c r="M85" s="191">
        <f t="shared" si="1"/>
        <v>117944</v>
      </c>
      <c r="N85" s="186">
        <v>2023</v>
      </c>
      <c r="O85" s="208">
        <v>102170000</v>
      </c>
      <c r="P85" s="209"/>
    </row>
    <row r="86" spans="1:16" s="194" customFormat="1" ht="78" customHeight="1">
      <c r="A86" s="183">
        <v>77</v>
      </c>
      <c r="B86" s="198" t="s">
        <v>154</v>
      </c>
      <c r="C86" s="186" t="s">
        <v>269</v>
      </c>
      <c r="D86" s="200" t="s">
        <v>166</v>
      </c>
      <c r="E86" s="199" t="s">
        <v>8</v>
      </c>
      <c r="F86" s="205">
        <v>1086</v>
      </c>
      <c r="G86" s="188">
        <v>86.5</v>
      </c>
      <c r="H86" s="274">
        <v>0.95</v>
      </c>
      <c r="I86" s="189">
        <v>0.79720000000000002</v>
      </c>
      <c r="J86" s="191">
        <v>1137629</v>
      </c>
      <c r="K86" s="191">
        <v>906892</v>
      </c>
      <c r="L86" s="191">
        <v>5410</v>
      </c>
      <c r="M86" s="191">
        <f t="shared" si="1"/>
        <v>225327</v>
      </c>
      <c r="N86" s="186" t="s">
        <v>358</v>
      </c>
      <c r="O86" s="192">
        <v>539237000</v>
      </c>
      <c r="P86" s="209"/>
    </row>
    <row r="87" spans="1:16" s="194" customFormat="1" ht="77.25" customHeight="1">
      <c r="A87" s="183">
        <v>78</v>
      </c>
      <c r="B87" s="263" t="s">
        <v>184</v>
      </c>
      <c r="C87" s="185" t="s">
        <v>232</v>
      </c>
      <c r="D87" s="200" t="s">
        <v>191</v>
      </c>
      <c r="E87" s="216" t="s">
        <v>8</v>
      </c>
      <c r="F87" s="216">
        <v>298</v>
      </c>
      <c r="G87" s="265">
        <v>86.5</v>
      </c>
      <c r="H87" s="275">
        <v>0.50700000000000001</v>
      </c>
      <c r="I87" s="235">
        <v>0.50700000000000001</v>
      </c>
      <c r="J87" s="236">
        <v>765166</v>
      </c>
      <c r="K87" s="236">
        <v>388300</v>
      </c>
      <c r="L87" s="236">
        <v>0</v>
      </c>
      <c r="M87" s="191">
        <f t="shared" si="1"/>
        <v>376866</v>
      </c>
      <c r="N87" s="276">
        <v>2026</v>
      </c>
      <c r="O87" s="237">
        <v>429604</v>
      </c>
      <c r="P87" s="204" t="s">
        <v>392</v>
      </c>
    </row>
    <row r="88" spans="1:16" s="194" customFormat="1" ht="77.25" customHeight="1">
      <c r="A88" s="183">
        <v>79</v>
      </c>
      <c r="B88" s="211" t="s">
        <v>185</v>
      </c>
      <c r="C88" s="185" t="s">
        <v>232</v>
      </c>
      <c r="D88" s="200" t="s">
        <v>191</v>
      </c>
      <c r="E88" s="199" t="s">
        <v>8</v>
      </c>
      <c r="F88" s="205">
        <v>277</v>
      </c>
      <c r="G88" s="201">
        <v>86.5</v>
      </c>
      <c r="H88" s="189">
        <v>0.83</v>
      </c>
      <c r="I88" s="189">
        <v>0.81</v>
      </c>
      <c r="J88" s="191">
        <v>460589</v>
      </c>
      <c r="K88" s="191">
        <v>374417</v>
      </c>
      <c r="L88" s="191">
        <v>21750</v>
      </c>
      <c r="M88" s="191">
        <f t="shared" si="1"/>
        <v>64422</v>
      </c>
      <c r="N88" s="199">
        <v>2025</v>
      </c>
      <c r="O88" s="208" t="s">
        <v>178</v>
      </c>
      <c r="P88" s="209"/>
    </row>
    <row r="89" spans="1:16" s="194" customFormat="1" ht="77.25" customHeight="1">
      <c r="A89" s="183">
        <v>80</v>
      </c>
      <c r="B89" s="222" t="s">
        <v>131</v>
      </c>
      <c r="C89" s="186" t="s">
        <v>269</v>
      </c>
      <c r="D89" s="200" t="s">
        <v>166</v>
      </c>
      <c r="E89" s="212" t="s">
        <v>8</v>
      </c>
      <c r="F89" s="213">
        <v>1188</v>
      </c>
      <c r="G89" s="188">
        <v>86</v>
      </c>
      <c r="H89" s="189">
        <v>0.7</v>
      </c>
      <c r="I89" s="189">
        <v>0.40289999999999998</v>
      </c>
      <c r="J89" s="190">
        <v>4972635</v>
      </c>
      <c r="K89" s="190">
        <v>2003361</v>
      </c>
      <c r="L89" s="190">
        <v>782240</v>
      </c>
      <c r="M89" s="191">
        <f t="shared" si="1"/>
        <v>2187034</v>
      </c>
      <c r="N89" s="227">
        <v>2023</v>
      </c>
      <c r="O89" s="278">
        <v>10.6</v>
      </c>
      <c r="P89" s="209"/>
    </row>
    <row r="90" spans="1:16" s="194" customFormat="1" ht="77.25" customHeight="1">
      <c r="A90" s="183">
        <v>81</v>
      </c>
      <c r="B90" s="198" t="s">
        <v>228</v>
      </c>
      <c r="C90" s="186" t="s">
        <v>269</v>
      </c>
      <c r="D90" s="199" t="s">
        <v>166</v>
      </c>
      <c r="E90" s="199" t="s">
        <v>8</v>
      </c>
      <c r="F90" s="205">
        <v>1288</v>
      </c>
      <c r="G90" s="201">
        <v>85.5</v>
      </c>
      <c r="H90" s="202">
        <v>1.26E-2</v>
      </c>
      <c r="I90" s="189">
        <v>4.3799999999999999E-2</v>
      </c>
      <c r="J90" s="191">
        <v>259880</v>
      </c>
      <c r="K90" s="191">
        <v>11373</v>
      </c>
      <c r="L90" s="191">
        <v>47507</v>
      </c>
      <c r="M90" s="191">
        <f t="shared" si="1"/>
        <v>201000</v>
      </c>
      <c r="N90" s="200" t="s">
        <v>171</v>
      </c>
      <c r="O90" s="203">
        <v>313728175</v>
      </c>
      <c r="P90" s="204"/>
    </row>
    <row r="91" spans="1:16" s="194" customFormat="1" ht="77.25" customHeight="1">
      <c r="A91" s="183">
        <v>82</v>
      </c>
      <c r="B91" s="198" t="s">
        <v>260</v>
      </c>
      <c r="C91" s="186" t="s">
        <v>269</v>
      </c>
      <c r="D91" s="200" t="s">
        <v>166</v>
      </c>
      <c r="E91" s="199" t="s">
        <v>12</v>
      </c>
      <c r="F91" s="228" t="s">
        <v>79</v>
      </c>
      <c r="G91" s="201">
        <v>85</v>
      </c>
      <c r="H91" s="202">
        <v>0</v>
      </c>
      <c r="I91" s="189">
        <v>0</v>
      </c>
      <c r="J91" s="191">
        <v>366008</v>
      </c>
      <c r="K91" s="191">
        <v>0</v>
      </c>
      <c r="L91" s="191">
        <v>0</v>
      </c>
      <c r="M91" s="191">
        <f t="shared" si="1"/>
        <v>366008</v>
      </c>
      <c r="N91" s="200" t="s">
        <v>231</v>
      </c>
      <c r="O91" s="203">
        <f>146.6*1000</f>
        <v>146600</v>
      </c>
      <c r="P91" s="204"/>
    </row>
    <row r="92" spans="1:16" s="194" customFormat="1" ht="77.25" customHeight="1">
      <c r="A92" s="183">
        <v>83</v>
      </c>
      <c r="B92" s="198" t="s">
        <v>34</v>
      </c>
      <c r="C92" s="186" t="s">
        <v>269</v>
      </c>
      <c r="D92" s="200" t="s">
        <v>166</v>
      </c>
      <c r="E92" s="199" t="s">
        <v>8</v>
      </c>
      <c r="F92" s="205">
        <v>1001</v>
      </c>
      <c r="G92" s="188">
        <v>84.5</v>
      </c>
      <c r="H92" s="207">
        <v>0.6</v>
      </c>
      <c r="I92" s="207">
        <v>8.8700000000000001E-2</v>
      </c>
      <c r="J92" s="203">
        <v>198921</v>
      </c>
      <c r="K92" s="203">
        <v>17643</v>
      </c>
      <c r="L92" s="203">
        <v>10000</v>
      </c>
      <c r="M92" s="191">
        <f t="shared" si="1"/>
        <v>171278</v>
      </c>
      <c r="N92" s="199" t="s">
        <v>401</v>
      </c>
      <c r="O92" s="192">
        <v>851789240</v>
      </c>
      <c r="P92" s="280" t="s">
        <v>402</v>
      </c>
    </row>
    <row r="93" spans="1:16" s="194" customFormat="1" ht="77.25" customHeight="1">
      <c r="A93" s="183">
        <v>84</v>
      </c>
      <c r="B93" s="198" t="s">
        <v>25</v>
      </c>
      <c r="C93" s="186" t="s">
        <v>269</v>
      </c>
      <c r="D93" s="200" t="s">
        <v>166</v>
      </c>
      <c r="E93" s="199" t="s">
        <v>8</v>
      </c>
      <c r="F93" s="205">
        <v>983</v>
      </c>
      <c r="G93" s="188">
        <v>84.5</v>
      </c>
      <c r="H93" s="207">
        <v>0.71289999999999998</v>
      </c>
      <c r="I93" s="189">
        <v>0.4476</v>
      </c>
      <c r="J93" s="191">
        <v>873848</v>
      </c>
      <c r="K93" s="191">
        <v>391107</v>
      </c>
      <c r="L93" s="191">
        <v>81054</v>
      </c>
      <c r="M93" s="191">
        <f t="shared" si="1"/>
        <v>401687</v>
      </c>
      <c r="N93" s="261" t="s">
        <v>445</v>
      </c>
      <c r="O93" s="192">
        <v>156750000</v>
      </c>
      <c r="P93" s="209"/>
    </row>
    <row r="94" spans="1:16" s="194" customFormat="1" ht="77.25" customHeight="1">
      <c r="A94" s="183">
        <v>85</v>
      </c>
      <c r="B94" s="198" t="s">
        <v>29</v>
      </c>
      <c r="C94" s="186" t="s">
        <v>269</v>
      </c>
      <c r="D94" s="200" t="s">
        <v>166</v>
      </c>
      <c r="E94" s="199" t="s">
        <v>8</v>
      </c>
      <c r="F94" s="205">
        <v>369</v>
      </c>
      <c r="G94" s="188">
        <v>84.5</v>
      </c>
      <c r="H94" s="282">
        <v>0.497</v>
      </c>
      <c r="I94" s="189">
        <v>0.36580000000000001</v>
      </c>
      <c r="J94" s="283">
        <v>698153</v>
      </c>
      <c r="K94" s="284">
        <v>255414</v>
      </c>
      <c r="L94" s="284">
        <v>22015</v>
      </c>
      <c r="M94" s="191">
        <f t="shared" si="1"/>
        <v>420724</v>
      </c>
      <c r="N94" s="285" t="s">
        <v>446</v>
      </c>
      <c r="O94" s="286" t="s">
        <v>216</v>
      </c>
      <c r="P94" s="280" t="s">
        <v>306</v>
      </c>
    </row>
    <row r="95" spans="1:16" s="194" customFormat="1" ht="77.25" customHeight="1">
      <c r="A95" s="183">
        <v>86</v>
      </c>
      <c r="B95" s="198" t="s">
        <v>51</v>
      </c>
      <c r="C95" s="186" t="s">
        <v>269</v>
      </c>
      <c r="D95" s="200" t="s">
        <v>166</v>
      </c>
      <c r="E95" s="199" t="s">
        <v>8</v>
      </c>
      <c r="F95" s="205">
        <v>418</v>
      </c>
      <c r="G95" s="188">
        <v>84.5</v>
      </c>
      <c r="H95" s="287">
        <v>0.98</v>
      </c>
      <c r="I95" s="189">
        <v>0.6492</v>
      </c>
      <c r="J95" s="191">
        <v>637104</v>
      </c>
      <c r="K95" s="191">
        <v>413623</v>
      </c>
      <c r="L95" s="191">
        <v>0</v>
      </c>
      <c r="M95" s="191">
        <f t="shared" si="1"/>
        <v>223481</v>
      </c>
      <c r="N95" s="199" t="s">
        <v>203</v>
      </c>
      <c r="O95" s="192">
        <v>68340000</v>
      </c>
      <c r="P95" s="204" t="s">
        <v>208</v>
      </c>
    </row>
    <row r="96" spans="1:16" s="194" customFormat="1" ht="220.5" customHeight="1">
      <c r="A96" s="183">
        <v>87</v>
      </c>
      <c r="B96" s="288" t="s">
        <v>32</v>
      </c>
      <c r="C96" s="186" t="s">
        <v>269</v>
      </c>
      <c r="D96" s="200" t="s">
        <v>166</v>
      </c>
      <c r="E96" s="186" t="s">
        <v>8</v>
      </c>
      <c r="F96" s="289">
        <v>415</v>
      </c>
      <c r="G96" s="290">
        <v>84.5</v>
      </c>
      <c r="H96" s="207">
        <v>0.65</v>
      </c>
      <c r="I96" s="207">
        <v>0.31380000000000002</v>
      </c>
      <c r="J96" s="190">
        <v>29536341</v>
      </c>
      <c r="K96" s="190">
        <v>9267461</v>
      </c>
      <c r="L96" s="190">
        <v>959526</v>
      </c>
      <c r="M96" s="191">
        <f t="shared" si="1"/>
        <v>19309354</v>
      </c>
      <c r="N96" s="291" t="s">
        <v>447</v>
      </c>
      <c r="O96" s="277">
        <v>15.7</v>
      </c>
      <c r="P96" s="204"/>
    </row>
    <row r="97" spans="1:16" s="194" customFormat="1" ht="96.75" customHeight="1">
      <c r="A97" s="183">
        <v>88</v>
      </c>
      <c r="B97" s="292" t="s">
        <v>138</v>
      </c>
      <c r="C97" s="186" t="s">
        <v>269</v>
      </c>
      <c r="D97" s="200" t="s">
        <v>166</v>
      </c>
      <c r="E97" s="186" t="s">
        <v>8</v>
      </c>
      <c r="F97" s="205">
        <v>353</v>
      </c>
      <c r="G97" s="188">
        <v>84.5</v>
      </c>
      <c r="H97" s="189">
        <v>0.55000000000000004</v>
      </c>
      <c r="I97" s="189">
        <v>0.35510000000000003</v>
      </c>
      <c r="J97" s="190">
        <v>8262919</v>
      </c>
      <c r="K97" s="190">
        <v>2934302</v>
      </c>
      <c r="L97" s="190">
        <v>3234</v>
      </c>
      <c r="M97" s="191">
        <f t="shared" si="1"/>
        <v>5325383</v>
      </c>
      <c r="N97" s="293" t="s">
        <v>448</v>
      </c>
      <c r="O97" s="277">
        <v>15</v>
      </c>
      <c r="P97" s="257" t="s">
        <v>406</v>
      </c>
    </row>
    <row r="98" spans="1:16" s="194" customFormat="1" ht="77.25" customHeight="1">
      <c r="A98" s="183">
        <v>89</v>
      </c>
      <c r="B98" s="198" t="s">
        <v>230</v>
      </c>
      <c r="C98" s="186" t="s">
        <v>269</v>
      </c>
      <c r="D98" s="200" t="s">
        <v>166</v>
      </c>
      <c r="E98" s="199" t="s">
        <v>12</v>
      </c>
      <c r="F98" s="205" t="s">
        <v>79</v>
      </c>
      <c r="G98" s="201">
        <v>83.5</v>
      </c>
      <c r="H98" s="202">
        <v>0</v>
      </c>
      <c r="I98" s="189">
        <v>0</v>
      </c>
      <c r="J98" s="191">
        <v>307506</v>
      </c>
      <c r="K98" s="191">
        <v>0</v>
      </c>
      <c r="L98" s="191">
        <v>0</v>
      </c>
      <c r="M98" s="191">
        <f t="shared" si="1"/>
        <v>307506</v>
      </c>
      <c r="N98" s="200" t="s">
        <v>231</v>
      </c>
      <c r="O98" s="203">
        <f>9611/4.8</f>
        <v>2002.2916666666667</v>
      </c>
      <c r="P98" s="209"/>
    </row>
    <row r="99" spans="1:16" s="194" customFormat="1" ht="77.25" customHeight="1">
      <c r="A99" s="183">
        <v>90</v>
      </c>
      <c r="B99" s="198" t="s">
        <v>147</v>
      </c>
      <c r="C99" s="186" t="s">
        <v>269</v>
      </c>
      <c r="D99" s="200" t="s">
        <v>168</v>
      </c>
      <c r="E99" s="199" t="s">
        <v>8</v>
      </c>
      <c r="F99" s="205">
        <v>343</v>
      </c>
      <c r="G99" s="201">
        <v>83.5</v>
      </c>
      <c r="H99" s="202">
        <v>0.82</v>
      </c>
      <c r="I99" s="207">
        <v>0.82</v>
      </c>
      <c r="J99" s="191">
        <v>1184661</v>
      </c>
      <c r="K99" s="191">
        <v>87553</v>
      </c>
      <c r="L99" s="191">
        <v>0</v>
      </c>
      <c r="M99" s="191">
        <f t="shared" si="1"/>
        <v>1097108</v>
      </c>
      <c r="N99" s="200" t="s">
        <v>194</v>
      </c>
      <c r="O99" s="208" t="s">
        <v>178</v>
      </c>
      <c r="P99" s="209" t="s">
        <v>309</v>
      </c>
    </row>
    <row r="100" spans="1:16" s="194" customFormat="1" ht="77.25" customHeight="1">
      <c r="A100" s="183">
        <v>91</v>
      </c>
      <c r="B100" s="198" t="s">
        <v>292</v>
      </c>
      <c r="C100" s="231" t="s">
        <v>28</v>
      </c>
      <c r="D100" s="216" t="s">
        <v>293</v>
      </c>
      <c r="E100" s="199" t="s">
        <v>8</v>
      </c>
      <c r="F100" s="228" t="s">
        <v>79</v>
      </c>
      <c r="G100" s="201">
        <v>83</v>
      </c>
      <c r="H100" s="202">
        <v>0</v>
      </c>
      <c r="I100" s="189">
        <v>2.3E-3</v>
      </c>
      <c r="J100" s="191">
        <v>635000</v>
      </c>
      <c r="K100" s="191">
        <v>1486</v>
      </c>
      <c r="L100" s="191">
        <v>8173</v>
      </c>
      <c r="M100" s="191">
        <f t="shared" si="1"/>
        <v>625341</v>
      </c>
      <c r="N100" s="200" t="s">
        <v>240</v>
      </c>
      <c r="O100" s="203">
        <f>88682071/4.9</f>
        <v>18098381.836734693</v>
      </c>
      <c r="P100" s="204" t="s">
        <v>343</v>
      </c>
    </row>
    <row r="101" spans="1:16" s="194" customFormat="1" ht="77.25" customHeight="1">
      <c r="A101" s="183">
        <v>92</v>
      </c>
      <c r="B101" s="198" t="s">
        <v>227</v>
      </c>
      <c r="C101" s="186" t="s">
        <v>269</v>
      </c>
      <c r="D101" s="200" t="s">
        <v>166</v>
      </c>
      <c r="E101" s="199" t="s">
        <v>12</v>
      </c>
      <c r="F101" s="205">
        <v>1410</v>
      </c>
      <c r="G101" s="201">
        <v>83</v>
      </c>
      <c r="H101" s="202">
        <v>0</v>
      </c>
      <c r="I101" s="189">
        <v>0</v>
      </c>
      <c r="J101" s="191">
        <v>145202</v>
      </c>
      <c r="K101" s="191">
        <v>0</v>
      </c>
      <c r="L101" s="191">
        <v>0</v>
      </c>
      <c r="M101" s="191">
        <f t="shared" si="1"/>
        <v>145202</v>
      </c>
      <c r="N101" s="200" t="s">
        <v>231</v>
      </c>
      <c r="O101" s="203">
        <f>31900720/4.8</f>
        <v>6645983.333333334</v>
      </c>
      <c r="P101" s="204"/>
    </row>
    <row r="102" spans="1:16" s="194" customFormat="1" ht="77.25" customHeight="1">
      <c r="A102" s="183">
        <v>93</v>
      </c>
      <c r="B102" s="230" t="s">
        <v>294</v>
      </c>
      <c r="C102" s="231" t="s">
        <v>28</v>
      </c>
      <c r="D102" s="216" t="s">
        <v>293</v>
      </c>
      <c r="E102" s="216" t="s">
        <v>8</v>
      </c>
      <c r="F102" s="232" t="s">
        <v>79</v>
      </c>
      <c r="G102" s="233">
        <v>83</v>
      </c>
      <c r="H102" s="234">
        <v>0</v>
      </c>
      <c r="I102" s="235">
        <v>4.4999999999999997E-3</v>
      </c>
      <c r="J102" s="236">
        <v>234601</v>
      </c>
      <c r="K102" s="236">
        <v>1063</v>
      </c>
      <c r="L102" s="236">
        <v>4385</v>
      </c>
      <c r="M102" s="236">
        <f t="shared" si="1"/>
        <v>229153</v>
      </c>
      <c r="N102" s="221" t="s">
        <v>240</v>
      </c>
      <c r="O102" s="237">
        <f>8607299/4.9</f>
        <v>1756591.6326530611</v>
      </c>
      <c r="P102" s="204" t="s">
        <v>343</v>
      </c>
    </row>
    <row r="103" spans="1:16" s="194" customFormat="1" ht="77.25" customHeight="1">
      <c r="A103" s="183">
        <v>94</v>
      </c>
      <c r="B103" s="198" t="s">
        <v>17</v>
      </c>
      <c r="C103" s="186" t="s">
        <v>269</v>
      </c>
      <c r="D103" s="200" t="s">
        <v>166</v>
      </c>
      <c r="E103" s="199" t="s">
        <v>8</v>
      </c>
      <c r="F103" s="205">
        <v>985</v>
      </c>
      <c r="G103" s="201">
        <v>82.5</v>
      </c>
      <c r="H103" s="274">
        <v>0.995</v>
      </c>
      <c r="I103" s="189">
        <v>0.62139999999999995</v>
      </c>
      <c r="J103" s="191">
        <v>211002</v>
      </c>
      <c r="K103" s="191">
        <v>131124</v>
      </c>
      <c r="L103" s="191">
        <v>4760</v>
      </c>
      <c r="M103" s="191">
        <f t="shared" si="1"/>
        <v>75118</v>
      </c>
      <c r="N103" s="200" t="s">
        <v>449</v>
      </c>
      <c r="O103" s="192">
        <v>101307000</v>
      </c>
      <c r="P103" s="209"/>
    </row>
    <row r="104" spans="1:16" s="194" customFormat="1" ht="77.25" customHeight="1">
      <c r="A104" s="183">
        <v>95</v>
      </c>
      <c r="B104" s="198" t="s">
        <v>24</v>
      </c>
      <c r="C104" s="186" t="s">
        <v>269</v>
      </c>
      <c r="D104" s="200" t="s">
        <v>166</v>
      </c>
      <c r="E104" s="199" t="s">
        <v>8</v>
      </c>
      <c r="F104" s="205">
        <v>372</v>
      </c>
      <c r="G104" s="188">
        <v>82.5</v>
      </c>
      <c r="H104" s="189">
        <v>0.25</v>
      </c>
      <c r="I104" s="189">
        <v>0.23419999999999999</v>
      </c>
      <c r="J104" s="191">
        <v>3955030</v>
      </c>
      <c r="K104" s="191">
        <v>926238</v>
      </c>
      <c r="L104" s="191">
        <v>472969</v>
      </c>
      <c r="M104" s="191">
        <f t="shared" si="1"/>
        <v>2555823</v>
      </c>
      <c r="N104" s="261" t="s">
        <v>359</v>
      </c>
      <c r="O104" s="192">
        <f>101080*1000</f>
        <v>101080000</v>
      </c>
      <c r="P104" s="209"/>
    </row>
    <row r="105" spans="1:16" s="194" customFormat="1" ht="77.25" customHeight="1">
      <c r="A105" s="183">
        <v>96</v>
      </c>
      <c r="B105" s="198" t="s">
        <v>39</v>
      </c>
      <c r="C105" s="186" t="s">
        <v>269</v>
      </c>
      <c r="D105" s="200" t="s">
        <v>166</v>
      </c>
      <c r="E105" s="199" t="s">
        <v>8</v>
      </c>
      <c r="F105" s="205">
        <v>820</v>
      </c>
      <c r="G105" s="201">
        <v>82.5</v>
      </c>
      <c r="H105" s="202">
        <v>0</v>
      </c>
      <c r="I105" s="189">
        <v>7.0000000000000001E-3</v>
      </c>
      <c r="J105" s="191">
        <v>305908</v>
      </c>
      <c r="K105" s="191">
        <v>2127</v>
      </c>
      <c r="L105" s="191">
        <v>37210</v>
      </c>
      <c r="M105" s="191">
        <f t="shared" si="1"/>
        <v>266571</v>
      </c>
      <c r="N105" s="200" t="s">
        <v>307</v>
      </c>
      <c r="O105" s="192">
        <v>32810486</v>
      </c>
      <c r="P105" s="280" t="s">
        <v>310</v>
      </c>
    </row>
    <row r="106" spans="1:16" s="194" customFormat="1" ht="77.25" customHeight="1">
      <c r="A106" s="183">
        <v>97</v>
      </c>
      <c r="B106" s="294" t="s">
        <v>189</v>
      </c>
      <c r="C106" s="185" t="s">
        <v>232</v>
      </c>
      <c r="D106" s="200" t="s">
        <v>191</v>
      </c>
      <c r="E106" s="199" t="s">
        <v>8</v>
      </c>
      <c r="F106" s="199">
        <v>286</v>
      </c>
      <c r="G106" s="201">
        <v>82</v>
      </c>
      <c r="H106" s="189">
        <v>0.7</v>
      </c>
      <c r="I106" s="189">
        <v>0.23</v>
      </c>
      <c r="J106" s="191">
        <v>204991</v>
      </c>
      <c r="K106" s="191">
        <v>46078</v>
      </c>
      <c r="L106" s="191">
        <v>0</v>
      </c>
      <c r="M106" s="191">
        <f t="shared" si="1"/>
        <v>158913</v>
      </c>
      <c r="N106" s="205">
        <v>2026</v>
      </c>
      <c r="O106" s="192">
        <v>14072</v>
      </c>
      <c r="P106" s="209" t="s">
        <v>388</v>
      </c>
    </row>
    <row r="107" spans="1:16" s="194" customFormat="1" ht="119.25" customHeight="1">
      <c r="A107" s="183">
        <v>98</v>
      </c>
      <c r="B107" s="198" t="s">
        <v>7</v>
      </c>
      <c r="C107" s="186" t="s">
        <v>269</v>
      </c>
      <c r="D107" s="200" t="s">
        <v>166</v>
      </c>
      <c r="E107" s="199" t="s">
        <v>8</v>
      </c>
      <c r="F107" s="205">
        <v>989</v>
      </c>
      <c r="G107" s="188">
        <v>81.5</v>
      </c>
      <c r="H107" s="189">
        <v>0.98919999999999997</v>
      </c>
      <c r="I107" s="189">
        <v>0.79610000000000003</v>
      </c>
      <c r="J107" s="191">
        <v>3489319</v>
      </c>
      <c r="K107" s="191">
        <v>2777871</v>
      </c>
      <c r="L107" s="191">
        <v>160127</v>
      </c>
      <c r="M107" s="191">
        <f t="shared" si="1"/>
        <v>551321</v>
      </c>
      <c r="N107" s="295" t="s">
        <v>411</v>
      </c>
      <c r="O107" s="192">
        <v>2091930000</v>
      </c>
      <c r="P107" s="296" t="s">
        <v>412</v>
      </c>
    </row>
    <row r="108" spans="1:16" s="194" customFormat="1" ht="303" customHeight="1">
      <c r="A108" s="183">
        <v>99</v>
      </c>
      <c r="B108" s="292" t="s">
        <v>15</v>
      </c>
      <c r="C108" s="186" t="s">
        <v>269</v>
      </c>
      <c r="D108" s="200" t="s">
        <v>166</v>
      </c>
      <c r="E108" s="199" t="s">
        <v>8</v>
      </c>
      <c r="F108" s="297">
        <v>1081</v>
      </c>
      <c r="G108" s="201">
        <v>81.5</v>
      </c>
      <c r="H108" s="207">
        <v>0.995</v>
      </c>
      <c r="I108" s="207">
        <v>0.6421</v>
      </c>
      <c r="J108" s="190">
        <v>3914761</v>
      </c>
      <c r="K108" s="190">
        <v>2513680</v>
      </c>
      <c r="L108" s="190">
        <v>183278</v>
      </c>
      <c r="M108" s="191">
        <f t="shared" si="1"/>
        <v>1217803</v>
      </c>
      <c r="N108" s="298" t="s">
        <v>450</v>
      </c>
      <c r="O108" s="192">
        <v>1547642182</v>
      </c>
      <c r="P108" s="257" t="s">
        <v>400</v>
      </c>
    </row>
    <row r="109" spans="1:16" s="194" customFormat="1" ht="228.75" customHeight="1">
      <c r="A109" s="183">
        <v>100</v>
      </c>
      <c r="B109" s="299" t="s">
        <v>13</v>
      </c>
      <c r="C109" s="186" t="s">
        <v>269</v>
      </c>
      <c r="D109" s="200" t="s">
        <v>166</v>
      </c>
      <c r="E109" s="216" t="s">
        <v>8</v>
      </c>
      <c r="F109" s="300">
        <v>988</v>
      </c>
      <c r="G109" s="265">
        <v>81.5</v>
      </c>
      <c r="H109" s="275">
        <v>0.86499999999999999</v>
      </c>
      <c r="I109" s="235">
        <v>0.50790000000000002</v>
      </c>
      <c r="J109" s="301">
        <v>5556723</v>
      </c>
      <c r="K109" s="301">
        <v>2822143</v>
      </c>
      <c r="L109" s="301">
        <v>145435</v>
      </c>
      <c r="M109" s="191">
        <f t="shared" si="1"/>
        <v>2589145</v>
      </c>
      <c r="N109" s="293" t="s">
        <v>476</v>
      </c>
      <c r="O109" s="302">
        <v>627340000</v>
      </c>
      <c r="P109" s="273"/>
    </row>
    <row r="110" spans="1:16" s="194" customFormat="1" ht="77.25" customHeight="1">
      <c r="A110" s="183">
        <v>101</v>
      </c>
      <c r="B110" s="198" t="s">
        <v>152</v>
      </c>
      <c r="C110" s="186" t="s">
        <v>269</v>
      </c>
      <c r="D110" s="200" t="s">
        <v>168</v>
      </c>
      <c r="E110" s="199" t="s">
        <v>8</v>
      </c>
      <c r="F110" s="205">
        <v>344</v>
      </c>
      <c r="G110" s="188">
        <v>81.5</v>
      </c>
      <c r="H110" s="189">
        <v>0.6</v>
      </c>
      <c r="I110" s="189">
        <v>0.6</v>
      </c>
      <c r="J110" s="191">
        <v>1083338</v>
      </c>
      <c r="K110" s="191">
        <v>10572</v>
      </c>
      <c r="L110" s="191">
        <v>0</v>
      </c>
      <c r="M110" s="191">
        <f t="shared" si="1"/>
        <v>1072766</v>
      </c>
      <c r="N110" s="200" t="s">
        <v>194</v>
      </c>
      <c r="O110" s="208" t="s">
        <v>178</v>
      </c>
      <c r="P110" s="209" t="s">
        <v>309</v>
      </c>
    </row>
    <row r="111" spans="1:16" s="194" customFormat="1" ht="77.25" customHeight="1">
      <c r="A111" s="183">
        <v>102</v>
      </c>
      <c r="B111" s="211" t="s">
        <v>187</v>
      </c>
      <c r="C111" s="185" t="s">
        <v>232</v>
      </c>
      <c r="D111" s="200" t="s">
        <v>191</v>
      </c>
      <c r="E111" s="199" t="s">
        <v>8</v>
      </c>
      <c r="F111" s="205">
        <v>287</v>
      </c>
      <c r="G111" s="188">
        <v>81.5</v>
      </c>
      <c r="H111" s="189">
        <v>0.81</v>
      </c>
      <c r="I111" s="189">
        <v>0.79</v>
      </c>
      <c r="J111" s="191">
        <v>168734</v>
      </c>
      <c r="K111" s="191">
        <v>133647</v>
      </c>
      <c r="L111" s="191">
        <v>100</v>
      </c>
      <c r="M111" s="191">
        <f t="shared" si="1"/>
        <v>34987</v>
      </c>
      <c r="N111" s="200" t="s">
        <v>240</v>
      </c>
      <c r="O111" s="208" t="s">
        <v>178</v>
      </c>
      <c r="P111" s="209" t="s">
        <v>390</v>
      </c>
    </row>
    <row r="112" spans="1:16" s="194" customFormat="1" ht="77.25" customHeight="1">
      <c r="A112" s="183">
        <v>103</v>
      </c>
      <c r="B112" s="211" t="s">
        <v>186</v>
      </c>
      <c r="C112" s="185" t="s">
        <v>232</v>
      </c>
      <c r="D112" s="200" t="s">
        <v>191</v>
      </c>
      <c r="E112" s="199" t="s">
        <v>8</v>
      </c>
      <c r="F112" s="199">
        <v>278</v>
      </c>
      <c r="G112" s="201">
        <v>81.5</v>
      </c>
      <c r="H112" s="202">
        <v>0.8</v>
      </c>
      <c r="I112" s="189">
        <v>0.79500000000000004</v>
      </c>
      <c r="J112" s="191">
        <v>167881</v>
      </c>
      <c r="K112" s="191">
        <v>133514</v>
      </c>
      <c r="L112" s="191">
        <v>16500</v>
      </c>
      <c r="M112" s="191">
        <f t="shared" si="1"/>
        <v>17867</v>
      </c>
      <c r="N112" s="200" t="s">
        <v>240</v>
      </c>
      <c r="O112" s="208" t="s">
        <v>178</v>
      </c>
      <c r="P112" s="209"/>
    </row>
    <row r="113" spans="1:16" s="194" customFormat="1" ht="77.25" customHeight="1">
      <c r="A113" s="183">
        <v>104</v>
      </c>
      <c r="B113" s="198" t="s">
        <v>30</v>
      </c>
      <c r="C113" s="186" t="s">
        <v>269</v>
      </c>
      <c r="D113" s="200" t="s">
        <v>166</v>
      </c>
      <c r="E113" s="199" t="s">
        <v>8</v>
      </c>
      <c r="F113" s="205">
        <v>816</v>
      </c>
      <c r="G113" s="188">
        <v>81</v>
      </c>
      <c r="H113" s="189">
        <v>0.49819999999999998</v>
      </c>
      <c r="I113" s="189">
        <v>0.32779999999999998</v>
      </c>
      <c r="J113" s="191">
        <v>540988</v>
      </c>
      <c r="K113" s="191">
        <v>177338</v>
      </c>
      <c r="L113" s="191">
        <v>38993</v>
      </c>
      <c r="M113" s="191">
        <f t="shared" si="1"/>
        <v>324657</v>
      </c>
      <c r="N113" s="205" t="s">
        <v>453</v>
      </c>
      <c r="O113" s="192">
        <v>113984129</v>
      </c>
      <c r="P113" s="281" t="s">
        <v>311</v>
      </c>
    </row>
    <row r="114" spans="1:16" s="194" customFormat="1" ht="77.25" customHeight="1">
      <c r="A114" s="183">
        <v>105</v>
      </c>
      <c r="B114" s="198" t="s">
        <v>157</v>
      </c>
      <c r="C114" s="186" t="s">
        <v>269</v>
      </c>
      <c r="D114" s="200" t="s">
        <v>166</v>
      </c>
      <c r="E114" s="199" t="s">
        <v>8</v>
      </c>
      <c r="F114" s="205">
        <v>1121</v>
      </c>
      <c r="G114" s="201">
        <v>80.5</v>
      </c>
      <c r="H114" s="206">
        <v>0</v>
      </c>
      <c r="I114" s="189">
        <v>1.24E-2</v>
      </c>
      <c r="J114" s="191">
        <v>237442</v>
      </c>
      <c r="K114" s="191">
        <v>2944</v>
      </c>
      <c r="L114" s="191">
        <v>53940</v>
      </c>
      <c r="M114" s="191">
        <f t="shared" si="1"/>
        <v>180558</v>
      </c>
      <c r="N114" s="200" t="s">
        <v>171</v>
      </c>
      <c r="O114" s="208">
        <v>22990000</v>
      </c>
      <c r="P114" s="197"/>
    </row>
    <row r="115" spans="1:16" s="194" customFormat="1" ht="77.25" customHeight="1">
      <c r="A115" s="183">
        <v>106</v>
      </c>
      <c r="B115" s="198" t="s">
        <v>155</v>
      </c>
      <c r="C115" s="186" t="s">
        <v>269</v>
      </c>
      <c r="D115" s="200" t="s">
        <v>166</v>
      </c>
      <c r="E115" s="199" t="s">
        <v>8</v>
      </c>
      <c r="F115" s="205">
        <v>1122</v>
      </c>
      <c r="G115" s="201">
        <v>80.5</v>
      </c>
      <c r="H115" s="189">
        <v>0.68140000000000001</v>
      </c>
      <c r="I115" s="189">
        <v>0.49480000000000002</v>
      </c>
      <c r="J115" s="191">
        <v>233685</v>
      </c>
      <c r="K115" s="191">
        <v>115618</v>
      </c>
      <c r="L115" s="191">
        <v>24870</v>
      </c>
      <c r="M115" s="191">
        <f t="shared" ref="M115:M149" si="2">J115-K115-L115</f>
        <v>93197</v>
      </c>
      <c r="N115" s="200" t="s">
        <v>358</v>
      </c>
      <c r="O115" s="208">
        <f>32315000/4.8</f>
        <v>6732291.666666667</v>
      </c>
      <c r="P115" s="209"/>
    </row>
    <row r="116" spans="1:16" s="194" customFormat="1" ht="77.25" customHeight="1">
      <c r="A116" s="183">
        <v>107</v>
      </c>
      <c r="B116" s="184" t="s">
        <v>188</v>
      </c>
      <c r="C116" s="185" t="s">
        <v>232</v>
      </c>
      <c r="D116" s="200" t="s">
        <v>191</v>
      </c>
      <c r="E116" s="199" t="s">
        <v>8</v>
      </c>
      <c r="F116" s="199">
        <v>282</v>
      </c>
      <c r="G116" s="201">
        <v>80</v>
      </c>
      <c r="H116" s="189">
        <v>0.34200000000000003</v>
      </c>
      <c r="I116" s="189">
        <v>0.09</v>
      </c>
      <c r="J116" s="191">
        <v>634468</v>
      </c>
      <c r="K116" s="191">
        <v>57580</v>
      </c>
      <c r="L116" s="191">
        <v>350</v>
      </c>
      <c r="M116" s="191">
        <f t="shared" si="2"/>
        <v>576538</v>
      </c>
      <c r="N116" s="205">
        <v>2026</v>
      </c>
      <c r="O116" s="255">
        <f>19697490</f>
        <v>19697490</v>
      </c>
      <c r="P116" s="209" t="s">
        <v>387</v>
      </c>
    </row>
    <row r="117" spans="1:16" s="194" customFormat="1" ht="77.25" customHeight="1">
      <c r="A117" s="183">
        <v>108</v>
      </c>
      <c r="B117" s="198" t="s">
        <v>56</v>
      </c>
      <c r="C117" s="186" t="s">
        <v>269</v>
      </c>
      <c r="D117" s="200" t="s">
        <v>166</v>
      </c>
      <c r="E117" s="199" t="s">
        <v>8</v>
      </c>
      <c r="F117" s="205">
        <v>1041</v>
      </c>
      <c r="G117" s="201">
        <v>79</v>
      </c>
      <c r="H117" s="207">
        <v>0.90600000000000003</v>
      </c>
      <c r="I117" s="207">
        <v>0.51170000000000004</v>
      </c>
      <c r="J117" s="203">
        <v>730401</v>
      </c>
      <c r="K117" s="203">
        <v>373782</v>
      </c>
      <c r="L117" s="305">
        <v>28242</v>
      </c>
      <c r="M117" s="191">
        <f t="shared" si="2"/>
        <v>328377</v>
      </c>
      <c r="N117" s="199" t="s">
        <v>455</v>
      </c>
      <c r="O117" s="192">
        <v>157424000</v>
      </c>
      <c r="P117" s="209"/>
    </row>
    <row r="118" spans="1:16" s="194" customFormat="1" ht="77.25" customHeight="1">
      <c r="A118" s="183">
        <v>109</v>
      </c>
      <c r="B118" s="184" t="s">
        <v>200</v>
      </c>
      <c r="C118" s="186" t="s">
        <v>269</v>
      </c>
      <c r="D118" s="200" t="s">
        <v>166</v>
      </c>
      <c r="E118" s="200" t="s">
        <v>8</v>
      </c>
      <c r="F118" s="186">
        <v>1226</v>
      </c>
      <c r="G118" s="201">
        <v>79</v>
      </c>
      <c r="H118" s="207">
        <v>0</v>
      </c>
      <c r="I118" s="207">
        <v>0</v>
      </c>
      <c r="J118" s="191">
        <v>160646</v>
      </c>
      <c r="K118" s="191">
        <v>0</v>
      </c>
      <c r="L118" s="191">
        <v>0</v>
      </c>
      <c r="M118" s="191">
        <f t="shared" si="2"/>
        <v>160646</v>
      </c>
      <c r="N118" s="200" t="s">
        <v>171</v>
      </c>
      <c r="O118" s="208">
        <v>31728388</v>
      </c>
      <c r="P118" s="204"/>
    </row>
    <row r="119" spans="1:16" s="194" customFormat="1" ht="69.75" customHeight="1">
      <c r="A119" s="183">
        <v>110</v>
      </c>
      <c r="B119" s="198" t="s">
        <v>18</v>
      </c>
      <c r="C119" s="186" t="s">
        <v>269</v>
      </c>
      <c r="D119" s="200" t="s">
        <v>166</v>
      </c>
      <c r="E119" s="199" t="s">
        <v>8</v>
      </c>
      <c r="F119" s="205">
        <v>383</v>
      </c>
      <c r="G119" s="201">
        <v>79</v>
      </c>
      <c r="H119" s="202">
        <v>0</v>
      </c>
      <c r="I119" s="189">
        <v>0.12620000000000001</v>
      </c>
      <c r="J119" s="191">
        <v>1962299</v>
      </c>
      <c r="K119" s="191">
        <v>247704</v>
      </c>
      <c r="L119" s="191">
        <v>106980</v>
      </c>
      <c r="M119" s="191">
        <f t="shared" si="2"/>
        <v>1607615</v>
      </c>
      <c r="N119" s="200" t="s">
        <v>441</v>
      </c>
      <c r="O119" s="306">
        <v>29.23</v>
      </c>
      <c r="P119" s="209"/>
    </row>
    <row r="120" spans="1:16" s="194" customFormat="1" ht="77.25" customHeight="1">
      <c r="A120" s="183">
        <v>111</v>
      </c>
      <c r="B120" s="198" t="s">
        <v>324</v>
      </c>
      <c r="C120" s="186" t="s">
        <v>269</v>
      </c>
      <c r="D120" s="200" t="s">
        <v>166</v>
      </c>
      <c r="E120" s="199" t="s">
        <v>8</v>
      </c>
      <c r="F120" s="205">
        <v>1079</v>
      </c>
      <c r="G120" s="201">
        <v>78.5</v>
      </c>
      <c r="H120" s="207">
        <v>0</v>
      </c>
      <c r="I120" s="207">
        <v>3.5999999999999999E-3</v>
      </c>
      <c r="J120" s="203">
        <v>121133</v>
      </c>
      <c r="K120" s="203">
        <v>437</v>
      </c>
      <c r="L120" s="203">
        <v>5800</v>
      </c>
      <c r="M120" s="191">
        <f t="shared" si="2"/>
        <v>114896</v>
      </c>
      <c r="N120" s="199">
        <v>2024</v>
      </c>
      <c r="O120" s="192">
        <v>113070000</v>
      </c>
      <c r="P120" s="209"/>
    </row>
    <row r="121" spans="1:16" s="194" customFormat="1" ht="219.75" customHeight="1">
      <c r="A121" s="183">
        <v>112</v>
      </c>
      <c r="B121" s="198" t="s">
        <v>27</v>
      </c>
      <c r="C121" s="186" t="s">
        <v>269</v>
      </c>
      <c r="D121" s="200" t="s">
        <v>166</v>
      </c>
      <c r="E121" s="199" t="s">
        <v>8</v>
      </c>
      <c r="F121" s="205">
        <v>413</v>
      </c>
      <c r="G121" s="201">
        <v>78</v>
      </c>
      <c r="H121" s="206">
        <v>0.997</v>
      </c>
      <c r="I121" s="189">
        <v>0.76329999999999998</v>
      </c>
      <c r="J121" s="191">
        <v>1132285</v>
      </c>
      <c r="K121" s="191">
        <v>864259</v>
      </c>
      <c r="L121" s="191">
        <v>465</v>
      </c>
      <c r="M121" s="191">
        <f t="shared" si="2"/>
        <v>267561</v>
      </c>
      <c r="N121" s="308" t="s">
        <v>302</v>
      </c>
      <c r="O121" s="192">
        <v>145600000</v>
      </c>
      <c r="P121" s="257" t="s">
        <v>457</v>
      </c>
    </row>
    <row r="122" spans="1:16" s="194" customFormat="1" ht="77.25" customHeight="1">
      <c r="A122" s="183">
        <v>113</v>
      </c>
      <c r="B122" s="198" t="s">
        <v>52</v>
      </c>
      <c r="C122" s="186" t="s">
        <v>269</v>
      </c>
      <c r="D122" s="200" t="s">
        <v>166</v>
      </c>
      <c r="E122" s="199" t="s">
        <v>8</v>
      </c>
      <c r="F122" s="205">
        <v>872</v>
      </c>
      <c r="G122" s="201">
        <v>77.5</v>
      </c>
      <c r="H122" s="202">
        <v>0</v>
      </c>
      <c r="I122" s="189">
        <v>9.1999999999999998E-3</v>
      </c>
      <c r="J122" s="191">
        <v>199675</v>
      </c>
      <c r="K122" s="191">
        <v>1832</v>
      </c>
      <c r="L122" s="191">
        <v>35000</v>
      </c>
      <c r="M122" s="191">
        <f t="shared" si="2"/>
        <v>162843</v>
      </c>
      <c r="N122" s="200" t="s">
        <v>231</v>
      </c>
      <c r="O122" s="192">
        <v>62681.04</v>
      </c>
      <c r="P122" s="209"/>
    </row>
    <row r="123" spans="1:16" s="194" customFormat="1" ht="77.25" customHeight="1">
      <c r="A123" s="183">
        <v>114</v>
      </c>
      <c r="B123" s="211" t="s">
        <v>190</v>
      </c>
      <c r="C123" s="185" t="s">
        <v>232</v>
      </c>
      <c r="D123" s="200" t="s">
        <v>191</v>
      </c>
      <c r="E123" s="199" t="s">
        <v>8</v>
      </c>
      <c r="F123" s="205">
        <v>272</v>
      </c>
      <c r="G123" s="201">
        <v>77.5</v>
      </c>
      <c r="H123" s="189">
        <v>0.45</v>
      </c>
      <c r="I123" s="189">
        <v>0.24</v>
      </c>
      <c r="J123" s="191">
        <v>132482</v>
      </c>
      <c r="K123" s="191">
        <v>32107</v>
      </c>
      <c r="L123" s="191">
        <v>500</v>
      </c>
      <c r="M123" s="191">
        <f t="shared" si="2"/>
        <v>99875</v>
      </c>
      <c r="N123" s="186">
        <v>2026</v>
      </c>
      <c r="O123" s="255" t="s">
        <v>178</v>
      </c>
      <c r="P123" s="209"/>
    </row>
    <row r="124" spans="1:16" s="194" customFormat="1" ht="215.25" customHeight="1">
      <c r="A124" s="183">
        <v>115</v>
      </c>
      <c r="B124" s="198" t="s">
        <v>297</v>
      </c>
      <c r="C124" s="186" t="s">
        <v>269</v>
      </c>
      <c r="D124" s="200" t="s">
        <v>169</v>
      </c>
      <c r="E124" s="199" t="s">
        <v>8</v>
      </c>
      <c r="F124" s="205">
        <v>1292</v>
      </c>
      <c r="G124" s="188">
        <v>77</v>
      </c>
      <c r="H124" s="207">
        <v>0.45</v>
      </c>
      <c r="I124" s="207">
        <v>0.32400000000000001</v>
      </c>
      <c r="J124" s="191">
        <v>9161319</v>
      </c>
      <c r="K124" s="191">
        <v>3008085</v>
      </c>
      <c r="L124" s="191">
        <v>160230</v>
      </c>
      <c r="M124" s="191">
        <f t="shared" si="2"/>
        <v>5993004</v>
      </c>
      <c r="N124" s="218">
        <v>2030</v>
      </c>
      <c r="O124" s="208">
        <f>1588.32*1000000</f>
        <v>1588320000</v>
      </c>
      <c r="P124" s="209" t="s">
        <v>442</v>
      </c>
    </row>
    <row r="125" spans="1:16" s="194" customFormat="1" ht="174" customHeight="1">
      <c r="A125" s="183">
        <v>116</v>
      </c>
      <c r="B125" s="198" t="s">
        <v>11</v>
      </c>
      <c r="C125" s="186" t="s">
        <v>269</v>
      </c>
      <c r="D125" s="200" t="s">
        <v>166</v>
      </c>
      <c r="E125" s="199" t="s">
        <v>8</v>
      </c>
      <c r="F125" s="205">
        <v>998</v>
      </c>
      <c r="G125" s="188">
        <v>77</v>
      </c>
      <c r="H125" s="206">
        <v>0.34260000000000002</v>
      </c>
      <c r="I125" s="189">
        <v>0.21609999999999999</v>
      </c>
      <c r="J125" s="191">
        <v>393072</v>
      </c>
      <c r="K125" s="191">
        <v>84938</v>
      </c>
      <c r="L125" s="191">
        <v>4030</v>
      </c>
      <c r="M125" s="191">
        <f t="shared" si="2"/>
        <v>304104</v>
      </c>
      <c r="N125" s="200" t="s">
        <v>171</v>
      </c>
      <c r="O125" s="192">
        <v>150349000</v>
      </c>
      <c r="P125" s="309" t="s">
        <v>312</v>
      </c>
    </row>
    <row r="126" spans="1:16" s="194" customFormat="1" ht="77.25" customHeight="1">
      <c r="A126" s="183">
        <v>117</v>
      </c>
      <c r="B126" s="294" t="s">
        <v>197</v>
      </c>
      <c r="C126" s="186" t="s">
        <v>269</v>
      </c>
      <c r="D126" s="200" t="s">
        <v>166</v>
      </c>
      <c r="E126" s="200" t="s">
        <v>8</v>
      </c>
      <c r="F126" s="186">
        <v>1258</v>
      </c>
      <c r="G126" s="201">
        <v>77</v>
      </c>
      <c r="H126" s="310">
        <v>0</v>
      </c>
      <c r="I126" s="207">
        <v>0</v>
      </c>
      <c r="J126" s="191">
        <v>168605</v>
      </c>
      <c r="K126" s="191">
        <v>0</v>
      </c>
      <c r="L126" s="191">
        <v>0</v>
      </c>
      <c r="M126" s="191">
        <f t="shared" si="2"/>
        <v>168605</v>
      </c>
      <c r="N126" s="200" t="s">
        <v>171</v>
      </c>
      <c r="O126" s="208">
        <f>113447000/4.8</f>
        <v>23634791.666666668</v>
      </c>
      <c r="P126" s="311" t="s">
        <v>419</v>
      </c>
    </row>
    <row r="127" spans="1:16" s="194" customFormat="1" ht="77.25" customHeight="1">
      <c r="A127" s="183">
        <v>118</v>
      </c>
      <c r="B127" s="198" t="s">
        <v>55</v>
      </c>
      <c r="C127" s="186" t="s">
        <v>269</v>
      </c>
      <c r="D127" s="200" t="s">
        <v>166</v>
      </c>
      <c r="E127" s="199" t="s">
        <v>8</v>
      </c>
      <c r="F127" s="205">
        <v>349</v>
      </c>
      <c r="G127" s="188">
        <v>76.5</v>
      </c>
      <c r="H127" s="189">
        <v>0.76400000000000001</v>
      </c>
      <c r="I127" s="189">
        <v>0.71489999999999998</v>
      </c>
      <c r="J127" s="191">
        <v>234745</v>
      </c>
      <c r="K127" s="191">
        <v>167812</v>
      </c>
      <c r="L127" s="191">
        <v>15771</v>
      </c>
      <c r="M127" s="191">
        <f t="shared" si="2"/>
        <v>51162</v>
      </c>
      <c r="N127" s="186">
        <v>2022</v>
      </c>
      <c r="O127" s="208" t="s">
        <v>175</v>
      </c>
      <c r="P127" s="280" t="s">
        <v>313</v>
      </c>
    </row>
    <row r="128" spans="1:16" s="194" customFormat="1" ht="77.25" customHeight="1">
      <c r="A128" s="183">
        <v>119</v>
      </c>
      <c r="B128" s="198" t="s">
        <v>220</v>
      </c>
      <c r="C128" s="186" t="s">
        <v>269</v>
      </c>
      <c r="D128" s="199" t="s">
        <v>166</v>
      </c>
      <c r="E128" s="199" t="s">
        <v>8</v>
      </c>
      <c r="F128" s="205">
        <v>1325</v>
      </c>
      <c r="G128" s="201">
        <v>74</v>
      </c>
      <c r="H128" s="202">
        <v>0</v>
      </c>
      <c r="I128" s="189">
        <v>1E-4</v>
      </c>
      <c r="J128" s="191">
        <v>1221323</v>
      </c>
      <c r="K128" s="191">
        <v>74</v>
      </c>
      <c r="L128" s="191">
        <v>243676</v>
      </c>
      <c r="M128" s="191">
        <f t="shared" si="2"/>
        <v>977573</v>
      </c>
      <c r="N128" s="200" t="s">
        <v>298</v>
      </c>
      <c r="O128" s="203">
        <f>273480000</f>
        <v>273480000</v>
      </c>
      <c r="P128" s="204"/>
    </row>
    <row r="129" spans="1:16" s="194" customFormat="1" ht="77.25" customHeight="1">
      <c r="A129" s="183">
        <v>120</v>
      </c>
      <c r="B129" s="198" t="s">
        <v>213</v>
      </c>
      <c r="C129" s="186" t="s">
        <v>269</v>
      </c>
      <c r="D129" s="200" t="s">
        <v>166</v>
      </c>
      <c r="E129" s="199" t="s">
        <v>8</v>
      </c>
      <c r="F129" s="205">
        <v>1242</v>
      </c>
      <c r="G129" s="201">
        <v>74</v>
      </c>
      <c r="H129" s="189">
        <v>0</v>
      </c>
      <c r="I129" s="189">
        <v>0</v>
      </c>
      <c r="J129" s="191">
        <v>129599</v>
      </c>
      <c r="K129" s="191">
        <v>0</v>
      </c>
      <c r="L129" s="191">
        <v>2021</v>
      </c>
      <c r="M129" s="191">
        <f t="shared" si="2"/>
        <v>127578</v>
      </c>
      <c r="N129" s="199">
        <v>2024</v>
      </c>
      <c r="O129" s="208">
        <v>97009404</v>
      </c>
      <c r="P129" s="246" t="s">
        <v>458</v>
      </c>
    </row>
    <row r="130" spans="1:16" s="194" customFormat="1" ht="122.25" customHeight="1">
      <c r="A130" s="183">
        <v>121</v>
      </c>
      <c r="B130" s="198" t="s">
        <v>156</v>
      </c>
      <c r="C130" s="186" t="s">
        <v>269</v>
      </c>
      <c r="D130" s="200" t="s">
        <v>167</v>
      </c>
      <c r="E130" s="199" t="s">
        <v>8</v>
      </c>
      <c r="F130" s="205">
        <v>421</v>
      </c>
      <c r="G130" s="201">
        <v>73</v>
      </c>
      <c r="H130" s="189">
        <v>0.83</v>
      </c>
      <c r="I130" s="189">
        <v>0.79</v>
      </c>
      <c r="J130" s="190">
        <v>340508</v>
      </c>
      <c r="K130" s="190">
        <v>269079</v>
      </c>
      <c r="L130" s="190">
        <v>500</v>
      </c>
      <c r="M130" s="191">
        <f t="shared" si="2"/>
        <v>70929</v>
      </c>
      <c r="N130" s="200" t="s">
        <v>298</v>
      </c>
      <c r="O130" s="277">
        <v>21.47</v>
      </c>
      <c r="P130" s="246" t="s">
        <v>384</v>
      </c>
    </row>
    <row r="131" spans="1:16" s="194" customFormat="1" ht="77.25" customHeight="1">
      <c r="A131" s="183">
        <v>122</v>
      </c>
      <c r="B131" s="198" t="s">
        <v>148</v>
      </c>
      <c r="C131" s="186" t="s">
        <v>269</v>
      </c>
      <c r="D131" s="200" t="s">
        <v>167</v>
      </c>
      <c r="E131" s="199" t="s">
        <v>8</v>
      </c>
      <c r="F131" s="205" t="s">
        <v>364</v>
      </c>
      <c r="G131" s="188">
        <v>73</v>
      </c>
      <c r="H131" s="207">
        <v>0.995</v>
      </c>
      <c r="I131" s="189">
        <v>0.99939999999999996</v>
      </c>
      <c r="J131" s="190">
        <v>1828416</v>
      </c>
      <c r="K131" s="190">
        <v>1827016</v>
      </c>
      <c r="L131" s="190">
        <v>1400</v>
      </c>
      <c r="M131" s="191">
        <f t="shared" si="2"/>
        <v>0</v>
      </c>
      <c r="N131" s="205">
        <v>2022</v>
      </c>
      <c r="O131" s="277">
        <v>3.62</v>
      </c>
      <c r="P131" s="242" t="s">
        <v>366</v>
      </c>
    </row>
    <row r="132" spans="1:16" s="194" customFormat="1" ht="183.75" customHeight="1">
      <c r="A132" s="183">
        <v>123</v>
      </c>
      <c r="B132" s="198" t="s">
        <v>160</v>
      </c>
      <c r="C132" s="186" t="s">
        <v>269</v>
      </c>
      <c r="D132" s="200" t="s">
        <v>167</v>
      </c>
      <c r="E132" s="199" t="s">
        <v>8</v>
      </c>
      <c r="F132" s="205">
        <v>424</v>
      </c>
      <c r="G132" s="201">
        <v>72.5</v>
      </c>
      <c r="H132" s="189">
        <v>0.03</v>
      </c>
      <c r="I132" s="189">
        <v>0.22</v>
      </c>
      <c r="J132" s="190">
        <v>2077510</v>
      </c>
      <c r="K132" s="190">
        <v>465547</v>
      </c>
      <c r="L132" s="190">
        <v>0</v>
      </c>
      <c r="M132" s="191">
        <f t="shared" si="2"/>
        <v>1611963</v>
      </c>
      <c r="N132" s="200" t="s">
        <v>299</v>
      </c>
      <c r="O132" s="208">
        <f>2077509685/4.8</f>
        <v>432814517.70833337</v>
      </c>
      <c r="P132" s="313" t="s">
        <v>370</v>
      </c>
    </row>
    <row r="133" spans="1:16" s="194" customFormat="1" ht="77.25" customHeight="1">
      <c r="A133" s="183">
        <v>124</v>
      </c>
      <c r="B133" s="198" t="s">
        <v>158</v>
      </c>
      <c r="C133" s="186" t="s">
        <v>269</v>
      </c>
      <c r="D133" s="200" t="s">
        <v>166</v>
      </c>
      <c r="E133" s="199" t="s">
        <v>8</v>
      </c>
      <c r="F133" s="205">
        <v>1189</v>
      </c>
      <c r="G133" s="201">
        <v>72.5</v>
      </c>
      <c r="H133" s="189">
        <v>0</v>
      </c>
      <c r="I133" s="189">
        <v>5.9999999999999995E-4</v>
      </c>
      <c r="J133" s="191">
        <v>168141</v>
      </c>
      <c r="K133" s="191">
        <v>102</v>
      </c>
      <c r="L133" s="191">
        <v>0</v>
      </c>
      <c r="M133" s="191">
        <f t="shared" si="2"/>
        <v>168039</v>
      </c>
      <c r="N133" s="199">
        <v>2025</v>
      </c>
      <c r="O133" s="255">
        <v>14220160</v>
      </c>
      <c r="P133" s="209"/>
    </row>
    <row r="134" spans="1:16" s="194" customFormat="1" ht="71.25" customHeight="1">
      <c r="A134" s="183">
        <v>125</v>
      </c>
      <c r="B134" s="198" t="s">
        <v>477</v>
      </c>
      <c r="C134" s="186" t="s">
        <v>269</v>
      </c>
      <c r="D134" s="200" t="s">
        <v>169</v>
      </c>
      <c r="E134" s="199" t="s">
        <v>8</v>
      </c>
      <c r="F134" s="205">
        <v>390</v>
      </c>
      <c r="G134" s="201">
        <v>72</v>
      </c>
      <c r="H134" s="189">
        <v>0.37</v>
      </c>
      <c r="I134" s="189">
        <v>0.37</v>
      </c>
      <c r="J134" s="191">
        <v>1538459</v>
      </c>
      <c r="K134" s="191">
        <v>564192</v>
      </c>
      <c r="L134" s="191">
        <v>0</v>
      </c>
      <c r="M134" s="191">
        <f t="shared" si="2"/>
        <v>974267</v>
      </c>
      <c r="N134" s="186">
        <v>2027</v>
      </c>
      <c r="O134" s="208">
        <f>109464906.95/4.8</f>
        <v>22805188.947916668</v>
      </c>
      <c r="P134" s="209"/>
    </row>
    <row r="135" spans="1:16" s="194" customFormat="1" ht="77.25" customHeight="1">
      <c r="A135" s="183">
        <v>126</v>
      </c>
      <c r="B135" s="198" t="s">
        <v>245</v>
      </c>
      <c r="C135" s="186" t="s">
        <v>269</v>
      </c>
      <c r="D135" s="200" t="s">
        <v>166</v>
      </c>
      <c r="E135" s="199" t="s">
        <v>8</v>
      </c>
      <c r="F135" s="205">
        <v>363</v>
      </c>
      <c r="G135" s="188">
        <v>71</v>
      </c>
      <c r="H135" s="189">
        <v>0.42599999999999999</v>
      </c>
      <c r="I135" s="189">
        <v>0.3866</v>
      </c>
      <c r="J135" s="191">
        <v>804868</v>
      </c>
      <c r="K135" s="191">
        <v>311195</v>
      </c>
      <c r="L135" s="191">
        <v>1600</v>
      </c>
      <c r="M135" s="191">
        <f t="shared" si="2"/>
        <v>492073</v>
      </c>
      <c r="N135" s="261" t="s">
        <v>421</v>
      </c>
      <c r="O135" s="277">
        <v>7.32</v>
      </c>
      <c r="P135" s="209"/>
    </row>
    <row r="136" spans="1:16" s="194" customFormat="1" ht="77.25" customHeight="1">
      <c r="A136" s="183">
        <v>127</v>
      </c>
      <c r="B136" s="184" t="s">
        <v>174</v>
      </c>
      <c r="C136" s="199" t="s">
        <v>76</v>
      </c>
      <c r="D136" s="200" t="s">
        <v>76</v>
      </c>
      <c r="E136" s="199" t="s">
        <v>8</v>
      </c>
      <c r="F136" s="205">
        <v>1228</v>
      </c>
      <c r="G136" s="201">
        <v>69.5</v>
      </c>
      <c r="H136" s="189">
        <v>0.89200000000000002</v>
      </c>
      <c r="I136" s="189">
        <v>0.89200000000000002</v>
      </c>
      <c r="J136" s="191">
        <v>144529</v>
      </c>
      <c r="K136" s="191">
        <v>144033</v>
      </c>
      <c r="L136" s="191">
        <v>0</v>
      </c>
      <c r="M136" s="191">
        <f t="shared" si="2"/>
        <v>496</v>
      </c>
      <c r="N136" s="199">
        <v>2023</v>
      </c>
      <c r="O136" s="208" t="s">
        <v>175</v>
      </c>
      <c r="P136" s="209" t="s">
        <v>349</v>
      </c>
    </row>
    <row r="137" spans="1:16" s="194" customFormat="1" ht="77.25" customHeight="1">
      <c r="A137" s="183">
        <v>128</v>
      </c>
      <c r="B137" s="198" t="s">
        <v>20</v>
      </c>
      <c r="C137" s="186" t="s">
        <v>269</v>
      </c>
      <c r="D137" s="200" t="s">
        <v>166</v>
      </c>
      <c r="E137" s="199" t="s">
        <v>8</v>
      </c>
      <c r="F137" s="205">
        <v>1080</v>
      </c>
      <c r="G137" s="201">
        <v>68.5</v>
      </c>
      <c r="H137" s="189">
        <v>0</v>
      </c>
      <c r="I137" s="207">
        <v>5.4999999999999997E-3</v>
      </c>
      <c r="J137" s="191">
        <v>597014</v>
      </c>
      <c r="K137" s="191">
        <v>3298</v>
      </c>
      <c r="L137" s="191">
        <v>1180</v>
      </c>
      <c r="M137" s="191">
        <f t="shared" si="2"/>
        <v>592536</v>
      </c>
      <c r="N137" s="200" t="s">
        <v>240</v>
      </c>
      <c r="O137" s="192">
        <v>178620000</v>
      </c>
      <c r="P137" s="209"/>
    </row>
    <row r="138" spans="1:16" s="194" customFormat="1" ht="77.25" customHeight="1">
      <c r="A138" s="183">
        <v>129</v>
      </c>
      <c r="B138" s="184" t="s">
        <v>196</v>
      </c>
      <c r="C138" s="186" t="s">
        <v>269</v>
      </c>
      <c r="D138" s="200" t="s">
        <v>166</v>
      </c>
      <c r="E138" s="200" t="s">
        <v>8</v>
      </c>
      <c r="F138" s="186">
        <v>1267</v>
      </c>
      <c r="G138" s="201">
        <v>66</v>
      </c>
      <c r="H138" s="207">
        <v>0</v>
      </c>
      <c r="I138" s="207">
        <v>0</v>
      </c>
      <c r="J138" s="191">
        <v>238697</v>
      </c>
      <c r="K138" s="191">
        <v>0</v>
      </c>
      <c r="L138" s="191">
        <v>0</v>
      </c>
      <c r="M138" s="191">
        <f t="shared" si="2"/>
        <v>238697</v>
      </c>
      <c r="N138" s="200" t="s">
        <v>171</v>
      </c>
      <c r="O138" s="208">
        <v>210663</v>
      </c>
      <c r="P138" s="315" t="s">
        <v>422</v>
      </c>
    </row>
    <row r="139" spans="1:16" s="194" customFormat="1" ht="77.25" customHeight="1">
      <c r="A139" s="183">
        <v>130</v>
      </c>
      <c r="B139" s="184" t="s">
        <v>242</v>
      </c>
      <c r="C139" s="186" t="s">
        <v>269</v>
      </c>
      <c r="D139" s="200" t="s">
        <v>166</v>
      </c>
      <c r="E139" s="200" t="s">
        <v>8</v>
      </c>
      <c r="F139" s="186">
        <v>1268</v>
      </c>
      <c r="G139" s="201">
        <v>64</v>
      </c>
      <c r="H139" s="207">
        <v>0</v>
      </c>
      <c r="I139" s="207">
        <v>0</v>
      </c>
      <c r="J139" s="191">
        <v>236673</v>
      </c>
      <c r="K139" s="191">
        <v>0</v>
      </c>
      <c r="L139" s="191">
        <v>0</v>
      </c>
      <c r="M139" s="191">
        <f t="shared" si="2"/>
        <v>236673</v>
      </c>
      <c r="N139" s="200" t="s">
        <v>171</v>
      </c>
      <c r="O139" s="208">
        <v>37971</v>
      </c>
      <c r="P139" s="315" t="s">
        <v>422</v>
      </c>
    </row>
    <row r="140" spans="1:16" s="194" customFormat="1" ht="156" customHeight="1">
      <c r="A140" s="183">
        <v>131</v>
      </c>
      <c r="B140" s="198" t="s">
        <v>162</v>
      </c>
      <c r="C140" s="186" t="s">
        <v>269</v>
      </c>
      <c r="D140" s="200" t="s">
        <v>166</v>
      </c>
      <c r="E140" s="199" t="s">
        <v>8</v>
      </c>
      <c r="F140" s="205">
        <v>361</v>
      </c>
      <c r="G140" s="220">
        <v>61.5</v>
      </c>
      <c r="H140" s="189">
        <v>0.99</v>
      </c>
      <c r="I140" s="189">
        <v>0.84250000000000003</v>
      </c>
      <c r="J140" s="191">
        <v>660813</v>
      </c>
      <c r="K140" s="191">
        <v>556746</v>
      </c>
      <c r="L140" s="191">
        <v>0</v>
      </c>
      <c r="M140" s="191">
        <f t="shared" si="2"/>
        <v>104067</v>
      </c>
      <c r="N140" s="185" t="s">
        <v>356</v>
      </c>
      <c r="O140" s="208" t="s">
        <v>175</v>
      </c>
      <c r="P140" s="257" t="s">
        <v>314</v>
      </c>
    </row>
    <row r="141" spans="1:16" s="194" customFormat="1" ht="77.25" customHeight="1">
      <c r="A141" s="183">
        <v>132</v>
      </c>
      <c r="B141" s="198" t="s">
        <v>50</v>
      </c>
      <c r="C141" s="186" t="s">
        <v>269</v>
      </c>
      <c r="D141" s="200" t="s">
        <v>166</v>
      </c>
      <c r="E141" s="199" t="s">
        <v>8</v>
      </c>
      <c r="F141" s="205">
        <v>348</v>
      </c>
      <c r="G141" s="201">
        <v>61.5</v>
      </c>
      <c r="H141" s="206">
        <v>0.99</v>
      </c>
      <c r="I141" s="189">
        <v>0.83589999999999998</v>
      </c>
      <c r="J141" s="191">
        <v>139677</v>
      </c>
      <c r="K141" s="191">
        <v>116761</v>
      </c>
      <c r="L141" s="191">
        <v>0</v>
      </c>
      <c r="M141" s="191">
        <f t="shared" si="2"/>
        <v>22916</v>
      </c>
      <c r="N141" s="200" t="s">
        <v>356</v>
      </c>
      <c r="O141" s="192" t="s">
        <v>175</v>
      </c>
      <c r="P141" s="204" t="s">
        <v>357</v>
      </c>
    </row>
    <row r="142" spans="1:16" s="194" customFormat="1" ht="77.25" customHeight="1">
      <c r="A142" s="183">
        <v>133</v>
      </c>
      <c r="B142" s="316" t="s">
        <v>61</v>
      </c>
      <c r="C142" s="186" t="s">
        <v>269</v>
      </c>
      <c r="D142" s="200" t="s">
        <v>166</v>
      </c>
      <c r="E142" s="317" t="s">
        <v>8</v>
      </c>
      <c r="F142" s="318">
        <v>385</v>
      </c>
      <c r="G142" s="319">
        <v>58</v>
      </c>
      <c r="H142" s="320">
        <v>0.84</v>
      </c>
      <c r="I142" s="321">
        <v>0.67030000000000001</v>
      </c>
      <c r="J142" s="284">
        <v>303482</v>
      </c>
      <c r="K142" s="284">
        <v>203437</v>
      </c>
      <c r="L142" s="284">
        <v>0</v>
      </c>
      <c r="M142" s="191">
        <f t="shared" si="2"/>
        <v>100045</v>
      </c>
      <c r="N142" s="322" t="s">
        <v>354</v>
      </c>
      <c r="O142" s="323" t="s">
        <v>175</v>
      </c>
      <c r="P142" s="209" t="s">
        <v>315</v>
      </c>
    </row>
    <row r="143" spans="1:16" s="194" customFormat="1" ht="77.25" customHeight="1">
      <c r="A143" s="183">
        <v>134</v>
      </c>
      <c r="B143" s="316" t="s">
        <v>243</v>
      </c>
      <c r="C143" s="186" t="s">
        <v>269</v>
      </c>
      <c r="D143" s="200" t="s">
        <v>166</v>
      </c>
      <c r="E143" s="199" t="s">
        <v>8</v>
      </c>
      <c r="F143" s="318">
        <v>1254</v>
      </c>
      <c r="G143" s="319">
        <v>55.5</v>
      </c>
      <c r="H143" s="324">
        <v>0</v>
      </c>
      <c r="I143" s="325">
        <v>0</v>
      </c>
      <c r="J143" s="284">
        <v>307454</v>
      </c>
      <c r="K143" s="284">
        <v>0</v>
      </c>
      <c r="L143" s="284">
        <v>0</v>
      </c>
      <c r="M143" s="191">
        <f t="shared" si="2"/>
        <v>307454</v>
      </c>
      <c r="N143" s="322" t="s">
        <v>171</v>
      </c>
      <c r="O143" s="203" t="s">
        <v>175</v>
      </c>
      <c r="P143" s="311" t="s">
        <v>426</v>
      </c>
    </row>
    <row r="144" spans="1:16" s="194" customFormat="1" ht="77.25" customHeight="1">
      <c r="A144" s="183">
        <v>135</v>
      </c>
      <c r="B144" s="326" t="s">
        <v>204</v>
      </c>
      <c r="C144" s="199" t="s">
        <v>28</v>
      </c>
      <c r="D144" s="200" t="s">
        <v>295</v>
      </c>
      <c r="E144" s="199" t="s">
        <v>8</v>
      </c>
      <c r="F144" s="205">
        <v>859</v>
      </c>
      <c r="G144" s="201">
        <v>54.5</v>
      </c>
      <c r="H144" s="207">
        <v>0.12</v>
      </c>
      <c r="I144" s="207">
        <v>0.1144</v>
      </c>
      <c r="J144" s="191">
        <v>102062</v>
      </c>
      <c r="K144" s="191">
        <v>11678</v>
      </c>
      <c r="L144" s="191">
        <v>100</v>
      </c>
      <c r="M144" s="191">
        <f t="shared" si="2"/>
        <v>90284</v>
      </c>
      <c r="N144" s="200" t="s">
        <v>240</v>
      </c>
      <c r="O144" s="327" t="s">
        <v>175</v>
      </c>
      <c r="P144" s="328" t="s">
        <v>241</v>
      </c>
    </row>
    <row r="145" spans="1:20" s="194" customFormat="1" ht="77.25" customHeight="1">
      <c r="A145" s="183">
        <v>136</v>
      </c>
      <c r="B145" s="198" t="s">
        <v>62</v>
      </c>
      <c r="C145" s="186" t="s">
        <v>269</v>
      </c>
      <c r="D145" s="200" t="s">
        <v>166</v>
      </c>
      <c r="E145" s="199" t="s">
        <v>8</v>
      </c>
      <c r="F145" s="205">
        <v>714</v>
      </c>
      <c r="G145" s="201">
        <v>54</v>
      </c>
      <c r="H145" s="206">
        <v>4.0000000000000001E-3</v>
      </c>
      <c r="I145" s="207">
        <v>3.0999999999999999E-3</v>
      </c>
      <c r="J145" s="191">
        <v>662844</v>
      </c>
      <c r="K145" s="191">
        <v>2078</v>
      </c>
      <c r="L145" s="191">
        <v>360</v>
      </c>
      <c r="M145" s="191">
        <f t="shared" si="2"/>
        <v>660406</v>
      </c>
      <c r="N145" s="200" t="s">
        <v>231</v>
      </c>
      <c r="O145" s="203" t="s">
        <v>175</v>
      </c>
      <c r="P145" s="209"/>
    </row>
    <row r="146" spans="1:20" s="194" customFormat="1" ht="77.25" customHeight="1">
      <c r="A146" s="183">
        <v>137</v>
      </c>
      <c r="B146" s="294" t="s">
        <v>198</v>
      </c>
      <c r="C146" s="186" t="s">
        <v>269</v>
      </c>
      <c r="D146" s="200" t="s">
        <v>166</v>
      </c>
      <c r="E146" s="200" t="s">
        <v>8</v>
      </c>
      <c r="F146" s="186">
        <v>1253</v>
      </c>
      <c r="G146" s="201">
        <v>50.5</v>
      </c>
      <c r="H146" s="207">
        <v>0.32800000000000001</v>
      </c>
      <c r="I146" s="207">
        <v>0.47749999999999998</v>
      </c>
      <c r="J146" s="191">
        <v>124823</v>
      </c>
      <c r="K146" s="191">
        <v>59605</v>
      </c>
      <c r="L146" s="191">
        <v>2021</v>
      </c>
      <c r="M146" s="191">
        <f t="shared" si="2"/>
        <v>63197</v>
      </c>
      <c r="N146" s="200" t="s">
        <v>171</v>
      </c>
      <c r="O146" s="277" t="s">
        <v>178</v>
      </c>
      <c r="P146" s="209"/>
    </row>
    <row r="147" spans="1:20" s="194" customFormat="1" ht="77.25" customHeight="1">
      <c r="A147" s="183">
        <v>138</v>
      </c>
      <c r="B147" s="198" t="s">
        <v>164</v>
      </c>
      <c r="C147" s="186" t="s">
        <v>269</v>
      </c>
      <c r="D147" s="200" t="s">
        <v>166</v>
      </c>
      <c r="E147" s="199" t="s">
        <v>8</v>
      </c>
      <c r="F147" s="205">
        <v>1123</v>
      </c>
      <c r="G147" s="201">
        <v>47.5</v>
      </c>
      <c r="H147" s="202">
        <v>0</v>
      </c>
      <c r="I147" s="189">
        <v>0</v>
      </c>
      <c r="J147" s="191">
        <v>163036</v>
      </c>
      <c r="K147" s="191">
        <v>0</v>
      </c>
      <c r="L147" s="191">
        <v>2345</v>
      </c>
      <c r="M147" s="191">
        <f t="shared" si="2"/>
        <v>160691</v>
      </c>
      <c r="N147" s="200" t="s">
        <v>171</v>
      </c>
      <c r="O147" s="208" t="s">
        <v>175</v>
      </c>
      <c r="P147" s="209"/>
    </row>
    <row r="148" spans="1:20" s="194" customFormat="1" ht="90" customHeight="1">
      <c r="A148" s="183">
        <v>139</v>
      </c>
      <c r="B148" s="184" t="s">
        <v>199</v>
      </c>
      <c r="C148" s="186" t="s">
        <v>269</v>
      </c>
      <c r="D148" s="200" t="s">
        <v>166</v>
      </c>
      <c r="E148" s="200" t="s">
        <v>8</v>
      </c>
      <c r="F148" s="186">
        <v>1237</v>
      </c>
      <c r="G148" s="201">
        <v>47.5</v>
      </c>
      <c r="H148" s="207">
        <v>0.76</v>
      </c>
      <c r="I148" s="207">
        <v>0.47260000000000002</v>
      </c>
      <c r="J148" s="191">
        <v>116779</v>
      </c>
      <c r="K148" s="191">
        <v>55189</v>
      </c>
      <c r="L148" s="191">
        <v>5723</v>
      </c>
      <c r="M148" s="191">
        <f t="shared" si="2"/>
        <v>55867</v>
      </c>
      <c r="N148" s="200" t="s">
        <v>170</v>
      </c>
      <c r="O148" s="277" t="s">
        <v>178</v>
      </c>
      <c r="P148" s="329"/>
    </row>
    <row r="149" spans="1:20" s="194" customFormat="1" ht="105" customHeight="1" thickBot="1">
      <c r="A149" s="183">
        <v>140</v>
      </c>
      <c r="B149" s="330" t="s">
        <v>165</v>
      </c>
      <c r="C149" s="331" t="s">
        <v>269</v>
      </c>
      <c r="D149" s="332" t="s">
        <v>168</v>
      </c>
      <c r="E149" s="333" t="s">
        <v>8</v>
      </c>
      <c r="F149" s="334">
        <v>826</v>
      </c>
      <c r="G149" s="335">
        <v>28</v>
      </c>
      <c r="H149" s="336">
        <v>0.3931</v>
      </c>
      <c r="I149" s="336">
        <v>0.3931</v>
      </c>
      <c r="J149" s="337">
        <v>300452</v>
      </c>
      <c r="K149" s="337">
        <v>127070</v>
      </c>
      <c r="L149" s="337">
        <v>5959</v>
      </c>
      <c r="M149" s="338">
        <f t="shared" si="2"/>
        <v>167423</v>
      </c>
      <c r="N149" s="339">
        <v>2030</v>
      </c>
      <c r="O149" s="340" t="s">
        <v>175</v>
      </c>
      <c r="P149" s="341"/>
    </row>
    <row r="150" spans="1:20" ht="16.5" thickBot="1">
      <c r="A150" s="410" t="s">
        <v>64</v>
      </c>
      <c r="B150" s="411"/>
      <c r="C150" s="156">
        <f>COUNT(A10:A149)</f>
        <v>140</v>
      </c>
      <c r="D150" s="156"/>
      <c r="E150" s="156"/>
      <c r="F150" s="156"/>
      <c r="G150" s="157"/>
      <c r="H150" s="157"/>
      <c r="I150" s="157"/>
      <c r="J150" s="158">
        <f>SUM(J10:J149)</f>
        <v>203615331</v>
      </c>
      <c r="K150" s="158">
        <f>SUM(K10:K149)</f>
        <v>55837412</v>
      </c>
      <c r="L150" s="158">
        <f>SUM(L10:L149)</f>
        <v>13133050</v>
      </c>
      <c r="M150" s="158">
        <f>SUM(M10:M149)</f>
        <v>134644869</v>
      </c>
      <c r="N150" s="159"/>
      <c r="O150" s="160"/>
      <c r="P150" s="162"/>
    </row>
    <row r="151" spans="1:20">
      <c r="A151" s="136"/>
      <c r="B151" s="136"/>
      <c r="C151" s="342"/>
      <c r="D151" s="342"/>
      <c r="E151" s="342"/>
      <c r="F151" s="342"/>
      <c r="G151" s="343"/>
      <c r="H151" s="343"/>
      <c r="I151" s="343"/>
      <c r="J151" s="344"/>
      <c r="K151" s="344"/>
      <c r="L151" s="344"/>
      <c r="M151" s="344"/>
      <c r="N151" s="345"/>
      <c r="O151" s="346"/>
      <c r="P151" s="347"/>
    </row>
    <row r="152" spans="1:20">
      <c r="A152" s="136"/>
      <c r="B152" s="386" t="s">
        <v>469</v>
      </c>
      <c r="C152" s="349"/>
      <c r="D152" s="349"/>
      <c r="E152" s="349"/>
      <c r="F152" s="349"/>
      <c r="G152" s="368"/>
      <c r="H152" s="368"/>
      <c r="I152" s="368"/>
      <c r="J152" s="369"/>
      <c r="K152" s="369"/>
      <c r="L152" s="369"/>
      <c r="M152" s="369"/>
      <c r="N152" s="349"/>
      <c r="O152" s="350"/>
      <c r="P152" s="351"/>
      <c r="Q152" s="3"/>
      <c r="R152" s="3"/>
      <c r="S152" s="3"/>
      <c r="T152" s="3"/>
    </row>
    <row r="153" spans="1:20">
      <c r="A153" s="348"/>
      <c r="B153" s="370" t="s">
        <v>461</v>
      </c>
      <c r="C153" s="371"/>
      <c r="D153" s="372"/>
      <c r="E153" s="373"/>
      <c r="F153" s="374"/>
      <c r="G153" s="374"/>
      <c r="H153" s="375"/>
      <c r="I153" s="375"/>
      <c r="J153" s="376"/>
      <c r="K153" s="373"/>
      <c r="L153" s="376"/>
      <c r="M153" s="376"/>
      <c r="N153" s="376"/>
      <c r="O153" s="376"/>
      <c r="P153" s="376"/>
      <c r="Q153" s="376"/>
      <c r="R153" s="376"/>
      <c r="S153" s="377"/>
      <c r="T153" s="352"/>
    </row>
    <row r="154" spans="1:20">
      <c r="A154" s="348"/>
      <c r="B154" s="422" t="s">
        <v>462</v>
      </c>
      <c r="C154" s="422"/>
      <c r="D154" s="422"/>
      <c r="E154" s="422"/>
      <c r="F154" s="422"/>
      <c r="G154" s="422"/>
      <c r="H154" s="422"/>
      <c r="I154" s="422"/>
      <c r="J154" s="422"/>
      <c r="K154" s="422"/>
      <c r="L154" s="422"/>
      <c r="M154" s="422"/>
      <c r="N154" s="422"/>
      <c r="O154" s="422"/>
      <c r="P154" s="422"/>
      <c r="Q154" s="422"/>
      <c r="R154" s="422"/>
      <c r="S154" s="422"/>
      <c r="T154" s="353"/>
    </row>
    <row r="155" spans="1:20">
      <c r="A155" s="348"/>
      <c r="B155" s="370" t="s">
        <v>463</v>
      </c>
      <c r="C155" s="378"/>
      <c r="D155" s="379"/>
      <c r="E155" s="357"/>
      <c r="F155" s="354"/>
      <c r="G155" s="355"/>
      <c r="H155" s="356"/>
      <c r="I155" s="356"/>
      <c r="J155" s="357"/>
      <c r="K155" s="352"/>
      <c r="L155" s="380"/>
      <c r="M155" s="380"/>
      <c r="N155" s="380"/>
      <c r="O155" s="380"/>
      <c r="P155" s="380"/>
      <c r="Q155" s="352"/>
      <c r="R155" s="352"/>
      <c r="S155" s="352"/>
      <c r="T155" s="352"/>
    </row>
    <row r="156" spans="1:20">
      <c r="A156" s="348"/>
      <c r="B156" s="358" t="s">
        <v>470</v>
      </c>
      <c r="C156" s="362"/>
      <c r="D156" s="359"/>
      <c r="E156" s="359"/>
      <c r="F156" s="360"/>
      <c r="G156" s="361"/>
      <c r="H156" s="361"/>
      <c r="I156" s="361"/>
      <c r="J156" s="361"/>
      <c r="K156" s="361"/>
      <c r="L156" s="361"/>
      <c r="M156" s="361"/>
      <c r="N156" s="361"/>
      <c r="O156" s="361"/>
      <c r="P156" s="361"/>
      <c r="Q156" s="361"/>
      <c r="R156" s="361"/>
      <c r="S156" s="362"/>
      <c r="T156" s="381"/>
    </row>
    <row r="157" spans="1:20">
      <c r="A157" s="348"/>
      <c r="B157" s="363" t="s">
        <v>471</v>
      </c>
      <c r="C157" s="382"/>
      <c r="D157" s="382"/>
      <c r="E157" s="382"/>
      <c r="F157" s="382"/>
      <c r="G157" s="382"/>
      <c r="H157" s="383"/>
      <c r="I157" s="363"/>
      <c r="J157" s="363"/>
      <c r="K157" s="363"/>
      <c r="L157" s="363"/>
      <c r="M157" s="363"/>
      <c r="N157" s="363"/>
      <c r="O157" s="363"/>
      <c r="P157" s="363"/>
      <c r="Q157" s="363"/>
      <c r="R157" s="363"/>
      <c r="S157" s="363"/>
      <c r="T157" s="363"/>
    </row>
    <row r="158" spans="1:20">
      <c r="A158" s="348"/>
      <c r="B158" s="363"/>
      <c r="C158" s="384" t="s">
        <v>464</v>
      </c>
      <c r="D158" s="382"/>
      <c r="E158" s="382"/>
      <c r="F158" s="382"/>
      <c r="G158" s="382"/>
      <c r="H158" s="383"/>
      <c r="I158" s="363"/>
      <c r="J158" s="363"/>
      <c r="K158" s="363"/>
      <c r="L158" s="363"/>
      <c r="M158" s="363"/>
      <c r="N158" s="363"/>
      <c r="O158" s="363"/>
      <c r="P158" s="363"/>
      <c r="Q158" s="363"/>
      <c r="R158" s="363"/>
      <c r="S158" s="363"/>
      <c r="T158" s="363"/>
    </row>
    <row r="159" spans="1:20">
      <c r="A159" s="348"/>
      <c r="B159" s="363"/>
      <c r="C159" s="423" t="s">
        <v>465</v>
      </c>
      <c r="D159" s="424"/>
      <c r="E159" s="424"/>
      <c r="F159" s="424"/>
      <c r="G159" s="424"/>
      <c r="H159" s="424"/>
      <c r="I159" s="424"/>
      <c r="J159" s="424"/>
      <c r="K159" s="424"/>
      <c r="L159" s="424"/>
      <c r="M159" s="424"/>
      <c r="N159" s="424"/>
      <c r="O159" s="424"/>
      <c r="P159" s="424"/>
      <c r="Q159" s="424"/>
      <c r="R159" s="424"/>
      <c r="S159" s="424"/>
      <c r="T159" s="424"/>
    </row>
    <row r="160" spans="1:20">
      <c r="A160" s="348"/>
      <c r="B160" s="363"/>
      <c r="C160" s="384" t="s">
        <v>466</v>
      </c>
      <c r="D160" s="382"/>
      <c r="E160" s="382"/>
      <c r="F160" s="382"/>
      <c r="G160" s="382"/>
      <c r="H160" s="1"/>
      <c r="I160" s="363"/>
      <c r="J160" s="363"/>
      <c r="K160" s="363"/>
      <c r="L160" s="363"/>
      <c r="M160" s="363"/>
      <c r="N160" s="363"/>
      <c r="O160" s="363"/>
      <c r="P160" s="363"/>
      <c r="Q160" s="363"/>
      <c r="R160" s="363"/>
      <c r="S160" s="363"/>
      <c r="T160" s="363"/>
    </row>
    <row r="161" spans="1:24">
      <c r="A161" s="348"/>
      <c r="B161" s="363"/>
      <c r="C161" s="384" t="s">
        <v>467</v>
      </c>
      <c r="D161" s="382"/>
      <c r="E161" s="382"/>
      <c r="F161" s="382"/>
      <c r="G161" s="382"/>
      <c r="H161" s="364"/>
      <c r="I161" s="363"/>
      <c r="J161" s="363"/>
      <c r="K161" s="363"/>
      <c r="L161" s="363"/>
      <c r="M161" s="363"/>
      <c r="N161" s="363"/>
      <c r="O161" s="363"/>
      <c r="P161" s="363"/>
      <c r="Q161" s="363"/>
      <c r="R161" s="363"/>
      <c r="S161" s="363"/>
      <c r="T161" s="363"/>
    </row>
    <row r="162" spans="1:24" ht="16.5">
      <c r="A162" s="348"/>
      <c r="B162" s="365"/>
      <c r="C162" s="384" t="s">
        <v>468</v>
      </c>
      <c r="D162" s="382"/>
      <c r="E162" s="385"/>
      <c r="F162" s="385"/>
      <c r="G162" s="385"/>
      <c r="H162" s="366"/>
      <c r="I162" s="365"/>
      <c r="J162" s="365"/>
      <c r="K162" s="365"/>
      <c r="L162" s="365"/>
      <c r="M162" s="365"/>
      <c r="N162" s="365"/>
      <c r="O162" s="365"/>
      <c r="P162" s="365"/>
      <c r="Q162" s="365"/>
      <c r="R162" s="365"/>
      <c r="S162" s="365"/>
      <c r="T162" s="365"/>
    </row>
    <row r="163" spans="1:24">
      <c r="A163" s="348"/>
      <c r="B163" s="367"/>
      <c r="C163" s="2"/>
      <c r="D163" s="359"/>
      <c r="E163" s="359"/>
      <c r="F163" s="360"/>
      <c r="G163" s="361"/>
      <c r="H163" s="361"/>
      <c r="I163" s="361"/>
      <c r="J163" s="361"/>
      <c r="K163" s="361"/>
      <c r="L163" s="361"/>
      <c r="M163" s="361"/>
      <c r="N163" s="361"/>
      <c r="O163" s="361"/>
      <c r="P163" s="361"/>
      <c r="Q163" s="361"/>
      <c r="R163" s="361"/>
      <c r="S163" s="362"/>
      <c r="T163" s="381"/>
    </row>
    <row r="164" spans="1:24">
      <c r="A164" s="136"/>
      <c r="B164" s="136"/>
      <c r="C164" s="342"/>
      <c r="D164" s="342"/>
      <c r="E164" s="342"/>
      <c r="F164" s="342"/>
      <c r="G164" s="343"/>
      <c r="H164" s="343"/>
      <c r="I164" s="343"/>
      <c r="J164" s="344"/>
      <c r="K164" s="344"/>
      <c r="L164" s="344"/>
      <c r="M164" s="344"/>
      <c r="N164" s="345"/>
      <c r="O164" s="346"/>
      <c r="P164" s="347"/>
    </row>
    <row r="165" spans="1:24">
      <c r="A165" s="136"/>
      <c r="B165" s="136"/>
      <c r="C165" s="342"/>
      <c r="D165" s="342"/>
      <c r="E165" s="342"/>
      <c r="F165" s="342"/>
      <c r="G165" s="343"/>
      <c r="H165" s="343"/>
      <c r="I165" s="343"/>
      <c r="J165" s="344"/>
      <c r="K165" s="344"/>
      <c r="L165" s="344"/>
      <c r="M165" s="344"/>
      <c r="N165" s="345"/>
      <c r="O165" s="346"/>
      <c r="P165" s="347"/>
    </row>
    <row r="166" spans="1:24" ht="18.75" customHeight="1">
      <c r="A166" s="136"/>
      <c r="B166" s="136"/>
      <c r="C166" s="44"/>
      <c r="D166" s="44"/>
      <c r="E166" s="31"/>
      <c r="F166" s="31"/>
      <c r="G166" s="45"/>
      <c r="H166" s="142"/>
      <c r="I166" s="47"/>
      <c r="J166" s="45"/>
      <c r="K166" s="45"/>
      <c r="L166" s="45"/>
      <c r="M166" s="45"/>
      <c r="N166" s="31"/>
      <c r="O166" s="46"/>
    </row>
    <row r="167" spans="1:24" s="19" customFormat="1" ht="102.75" customHeight="1">
      <c r="A167" s="48"/>
      <c r="B167" s="181"/>
      <c r="C167" s="179"/>
      <c r="D167" s="179"/>
      <c r="E167" s="179"/>
      <c r="F167" s="179"/>
      <c r="G167" s="108"/>
      <c r="H167" s="143"/>
      <c r="I167" s="49"/>
      <c r="J167" s="181"/>
      <c r="K167" s="181"/>
      <c r="L167" s="181"/>
      <c r="M167" s="181"/>
      <c r="N167" s="46"/>
      <c r="O167" s="181"/>
      <c r="P167" s="182"/>
      <c r="R167" s="29"/>
    </row>
    <row r="168" spans="1:24" s="3" customFormat="1" hidden="1">
      <c r="A168" s="33"/>
      <c r="B168" s="181"/>
      <c r="C168" s="52"/>
      <c r="D168" s="52"/>
      <c r="E168" s="53"/>
      <c r="F168" s="52"/>
      <c r="G168" s="87"/>
      <c r="H168" s="54"/>
      <c r="I168" s="50"/>
      <c r="J168" s="34"/>
      <c r="K168" s="34"/>
      <c r="L168" s="34"/>
      <c r="M168" s="55"/>
      <c r="N168" s="51"/>
      <c r="O168" s="50"/>
      <c r="P168" s="182"/>
      <c r="R168" s="20"/>
    </row>
    <row r="169" spans="1:24" s="3" customFormat="1" hidden="1">
      <c r="A169" s="52"/>
      <c r="B169" s="56"/>
      <c r="C169" s="57"/>
      <c r="D169" s="57"/>
      <c r="E169" s="53"/>
      <c r="F169" s="54"/>
      <c r="G169" s="87"/>
      <c r="H169" s="54"/>
      <c r="I169" s="54"/>
      <c r="J169" s="144"/>
      <c r="K169" s="136"/>
      <c r="L169" s="136"/>
      <c r="M169" s="58"/>
      <c r="N169" s="59"/>
      <c r="O169" s="60"/>
      <c r="P169" s="180"/>
      <c r="Q169" s="11"/>
      <c r="R169" s="21"/>
    </row>
    <row r="170" spans="1:24" s="3" customFormat="1" ht="16.5" hidden="1" thickBot="1">
      <c r="A170" s="52"/>
      <c r="B170" s="56"/>
      <c r="C170" s="57"/>
      <c r="D170" s="57"/>
      <c r="E170" s="53"/>
      <c r="F170" s="54"/>
      <c r="G170" s="87"/>
      <c r="H170" s="54"/>
      <c r="I170" s="54"/>
      <c r="J170" s="144"/>
      <c r="K170" s="136"/>
      <c r="L170" s="136"/>
      <c r="M170" s="61"/>
      <c r="N170" s="62"/>
      <c r="O170" s="63"/>
      <c r="P170" s="180"/>
      <c r="Q170" s="11"/>
      <c r="R170" s="21"/>
    </row>
    <row r="171" spans="1:24" s="3" customFormat="1" ht="15" hidden="1" customHeight="1">
      <c r="A171" s="52"/>
      <c r="B171" s="56" t="s">
        <v>73</v>
      </c>
      <c r="C171" s="52"/>
      <c r="D171" s="52"/>
      <c r="E171" s="136" t="s">
        <v>90</v>
      </c>
      <c r="F171" s="136" t="s">
        <v>70</v>
      </c>
      <c r="G171" s="86" t="s">
        <v>71</v>
      </c>
      <c r="H171" s="64" t="s">
        <v>72</v>
      </c>
      <c r="I171" s="65" t="s">
        <v>85</v>
      </c>
      <c r="J171" s="145" t="s">
        <v>74</v>
      </c>
      <c r="K171" s="146"/>
      <c r="L171" s="146"/>
      <c r="M171" s="55"/>
      <c r="N171" s="66" t="s">
        <v>88</v>
      </c>
      <c r="O171" s="67" t="s">
        <v>89</v>
      </c>
      <c r="P171" s="180" t="s">
        <v>98</v>
      </c>
      <c r="Q171" s="10" t="s">
        <v>99</v>
      </c>
      <c r="R171" s="22" t="s">
        <v>100</v>
      </c>
      <c r="S171" s="4" t="s">
        <v>101</v>
      </c>
      <c r="T171" s="4" t="s">
        <v>102</v>
      </c>
      <c r="U171" s="4" t="s">
        <v>103</v>
      </c>
      <c r="V171" s="3" t="s">
        <v>104</v>
      </c>
      <c r="W171" s="3" t="s">
        <v>105</v>
      </c>
      <c r="X171" s="3" t="s">
        <v>127</v>
      </c>
    </row>
    <row r="172" spans="1:24" s="3" customFormat="1" ht="15" hidden="1" customHeight="1">
      <c r="A172" s="68">
        <v>1</v>
      </c>
      <c r="B172" s="110" t="s">
        <v>435</v>
      </c>
      <c r="C172" s="32" t="s">
        <v>269</v>
      </c>
      <c r="D172" s="32">
        <f>COUNTIF($C$10:$C$149,"MTI")</f>
        <v>94</v>
      </c>
      <c r="E172" s="69">
        <f>D172/D181</f>
        <v>0.67142857142857137</v>
      </c>
      <c r="F172" s="70">
        <f>COUNTIFS($C$10:$C$149,"MTI",$H$10:$H$149,"0,00%")</f>
        <v>0</v>
      </c>
      <c r="G172" s="166">
        <f>COUNTIFS($C$10:$C$149,"MTI",$H$10:$H$149,"&gt;0,00%")-COUNTIFS($C$10:$C$149,"MTI",$H$10:$H$149,"100,00%")</f>
        <v>0</v>
      </c>
      <c r="H172" s="147">
        <f>COUNTIFS($C$10:$C$166,"MTI",$H$10:$H$166,"100,00%")</f>
        <v>0</v>
      </c>
      <c r="I172" s="130">
        <f>D172-F172-G172-H172</f>
        <v>94</v>
      </c>
      <c r="J172" s="148">
        <f t="shared" ref="J172:J180" si="3">F172+G172</f>
        <v>0</v>
      </c>
      <c r="K172" s="149"/>
      <c r="L172" s="149"/>
      <c r="M172" s="71" t="s">
        <v>269</v>
      </c>
      <c r="N172" s="174">
        <f t="shared" ref="N172:N180" si="4">SUMIF($C$10:$C$149,$C172,J$10:J$149)</f>
        <v>180075080</v>
      </c>
      <c r="O172" s="167">
        <f t="shared" ref="O172:O180" si="5">SUMIF($C$10:$C$149,$C172,M$10:M$149)</f>
        <v>116630903</v>
      </c>
      <c r="P172" s="168">
        <f t="shared" ref="P172:P178" si="6">I185+C185</f>
        <v>180075080</v>
      </c>
      <c r="Q172" s="11">
        <f t="shared" ref="Q172:Q178" si="7">E185</f>
        <v>0</v>
      </c>
      <c r="R172" s="23">
        <f t="shared" ref="R172:R178" si="8">I198</f>
        <v>116630903</v>
      </c>
      <c r="S172" s="9">
        <f t="shared" ref="S172:S178" si="9">E198</f>
        <v>0</v>
      </c>
      <c r="T172" s="9">
        <f>N172-P172-Q172</f>
        <v>0</v>
      </c>
      <c r="U172" s="9">
        <f>O172-R172-S172</f>
        <v>0</v>
      </c>
      <c r="V172" s="9">
        <f>J172</f>
        <v>0</v>
      </c>
      <c r="W172" s="9">
        <f t="shared" ref="W172:W181" si="10">H172</f>
        <v>0</v>
      </c>
      <c r="X172" s="9">
        <f>V172+W172</f>
        <v>0</v>
      </c>
    </row>
    <row r="173" spans="1:24" s="3" customFormat="1" ht="15" hidden="1" customHeight="1">
      <c r="A173" s="68">
        <v>2</v>
      </c>
      <c r="B173" s="43" t="s">
        <v>65</v>
      </c>
      <c r="C173" s="32" t="s">
        <v>9</v>
      </c>
      <c r="D173" s="32">
        <f>COUNTIF($C$10:$C$149,"MS")</f>
        <v>9</v>
      </c>
      <c r="E173" s="69">
        <f>D173/D181</f>
        <v>6.4285714285714279E-2</v>
      </c>
      <c r="F173" s="70">
        <f>COUNTIFS($C$10:$C$166,"MS",$H$10:$H$166,"0,00%")</f>
        <v>0</v>
      </c>
      <c r="G173" s="131">
        <f>COUNTIFS($C$19:$C$149,"MS",$H$19:$H$149,"&gt;0,00%")-COUNTIFS($C$19:$C$149,"MS",$H$19:$H$149,"100,00%")</f>
        <v>0</v>
      </c>
      <c r="H173" s="147">
        <f>COUNTIFS($C$19:$C$149,"MS",$H$19:$H$149,"100,00%")</f>
        <v>0</v>
      </c>
      <c r="I173" s="130">
        <f t="shared" ref="I173:I180" si="11">D173-F173-G173-H173</f>
        <v>9</v>
      </c>
      <c r="J173" s="148">
        <f t="shared" si="3"/>
        <v>0</v>
      </c>
      <c r="K173" s="149"/>
      <c r="L173" s="149"/>
      <c r="M173" s="71" t="s">
        <v>9</v>
      </c>
      <c r="N173" s="174">
        <f t="shared" si="4"/>
        <v>9599320</v>
      </c>
      <c r="O173" s="167">
        <f t="shared" si="5"/>
        <v>9356178</v>
      </c>
      <c r="P173" s="168">
        <f t="shared" si="6"/>
        <v>9599320</v>
      </c>
      <c r="Q173" s="11">
        <f t="shared" si="7"/>
        <v>0</v>
      </c>
      <c r="R173" s="23">
        <f t="shared" si="8"/>
        <v>9356178</v>
      </c>
      <c r="S173" s="9">
        <f t="shared" si="9"/>
        <v>0</v>
      </c>
      <c r="T173" s="9">
        <f t="shared" ref="T173:T180" si="12">N173-P173-Q173</f>
        <v>0</v>
      </c>
      <c r="U173" s="9">
        <f t="shared" ref="U173:U180" si="13">O173-R173-S173</f>
        <v>0</v>
      </c>
      <c r="V173" s="9">
        <f t="shared" ref="V173:V181" si="14">J173</f>
        <v>0</v>
      </c>
      <c r="W173" s="9">
        <f t="shared" si="10"/>
        <v>0</v>
      </c>
      <c r="X173" s="9">
        <f t="shared" ref="X173:X181" si="15">V173+W173</f>
        <v>0</v>
      </c>
    </row>
    <row r="174" spans="1:24" s="3" customFormat="1" ht="15" hidden="1" customHeight="1">
      <c r="A174" s="68">
        <v>3</v>
      </c>
      <c r="B174" s="43" t="s">
        <v>66</v>
      </c>
      <c r="C174" s="32" t="s">
        <v>28</v>
      </c>
      <c r="D174" s="32">
        <f>COUNTIF($C$10:$C$149,"MJ")</f>
        <v>3</v>
      </c>
      <c r="E174" s="69">
        <f>D174/D181</f>
        <v>2.1428571428571429E-2</v>
      </c>
      <c r="F174" s="70">
        <f>COUNTIFS($C$19:$C$149,"MJ",$H$19:$H$149,"0,00%")</f>
        <v>0</v>
      </c>
      <c r="G174" s="131">
        <f>COUNTIFS($C$19:$C$149,"MJ",$H$19:$H$149,"&gt;0,00%")-COUNTIFS($C$19:$C$149,"MJ",$H$19:$H$149,"100,00%")</f>
        <v>0</v>
      </c>
      <c r="H174" s="147">
        <f>COUNTIFS($C$19:$C$149,"MJ",$H$19:$H$149,"100,00%")</f>
        <v>0</v>
      </c>
      <c r="I174" s="130">
        <f t="shared" si="11"/>
        <v>3</v>
      </c>
      <c r="J174" s="148">
        <f t="shared" si="3"/>
        <v>0</v>
      </c>
      <c r="K174" s="149"/>
      <c r="L174" s="149"/>
      <c r="M174" s="71" t="s">
        <v>28</v>
      </c>
      <c r="N174" s="174">
        <f t="shared" si="4"/>
        <v>971663</v>
      </c>
      <c r="O174" s="167">
        <f t="shared" si="5"/>
        <v>944778</v>
      </c>
      <c r="P174" s="168">
        <f t="shared" si="6"/>
        <v>971663</v>
      </c>
      <c r="Q174" s="11">
        <f t="shared" si="7"/>
        <v>0</v>
      </c>
      <c r="R174" s="23">
        <f t="shared" si="8"/>
        <v>944778</v>
      </c>
      <c r="S174" s="9">
        <f t="shared" si="9"/>
        <v>0</v>
      </c>
      <c r="T174" s="9">
        <f t="shared" si="12"/>
        <v>0</v>
      </c>
      <c r="U174" s="9">
        <f t="shared" si="13"/>
        <v>0</v>
      </c>
      <c r="V174" s="9">
        <f t="shared" si="14"/>
        <v>0</v>
      </c>
      <c r="W174" s="9">
        <f t="shared" si="10"/>
        <v>0</v>
      </c>
      <c r="X174" s="9">
        <f t="shared" si="15"/>
        <v>0</v>
      </c>
    </row>
    <row r="175" spans="1:24" s="3" customFormat="1" ht="15" hidden="1" customHeight="1">
      <c r="A175" s="68">
        <v>4</v>
      </c>
      <c r="B175" s="109" t="s">
        <v>436</v>
      </c>
      <c r="C175" s="107" t="s">
        <v>270</v>
      </c>
      <c r="D175" s="32">
        <f>COUNTIF($C$10:$C$149,"MDLPA")</f>
        <v>16</v>
      </c>
      <c r="E175" s="69">
        <f>D175/D181</f>
        <v>0.11428571428571428</v>
      </c>
      <c r="F175" s="70">
        <f>COUNTIFS($C$19:$C$149,"MDLPA",$H$19:$H$149,"0,00%")</f>
        <v>0</v>
      </c>
      <c r="G175" s="131">
        <f>COUNTIFS($C$19:$C$149,"MDLPA",$H$19:$H$149,"&gt;0,00%")-COUNTIFS($C$19:$C$149,"MDLPA",$H$19:$H$149,"100,00%")</f>
        <v>0</v>
      </c>
      <c r="H175" s="147">
        <f>COUNTIFS($C$19:$C$149,"MDLPA",$H$19:$H$149,"100,00%")</f>
        <v>0</v>
      </c>
      <c r="I175" s="130">
        <f t="shared" si="11"/>
        <v>16</v>
      </c>
      <c r="J175" s="148">
        <f t="shared" si="3"/>
        <v>0</v>
      </c>
      <c r="K175" s="149"/>
      <c r="L175" s="149"/>
      <c r="M175" s="107" t="s">
        <v>270</v>
      </c>
      <c r="N175" s="174">
        <f t="shared" si="4"/>
        <v>3302901</v>
      </c>
      <c r="O175" s="167">
        <f t="shared" si="5"/>
        <v>2893183</v>
      </c>
      <c r="P175" s="168">
        <f t="shared" si="6"/>
        <v>3302901</v>
      </c>
      <c r="Q175" s="11">
        <f t="shared" si="7"/>
        <v>0</v>
      </c>
      <c r="R175" s="23">
        <f t="shared" si="8"/>
        <v>2893183</v>
      </c>
      <c r="S175" s="9">
        <f t="shared" si="9"/>
        <v>0</v>
      </c>
      <c r="T175" s="9">
        <f t="shared" si="12"/>
        <v>0</v>
      </c>
      <c r="U175" s="9">
        <f t="shared" si="13"/>
        <v>0</v>
      </c>
      <c r="V175" s="9">
        <f t="shared" si="14"/>
        <v>0</v>
      </c>
      <c r="W175" s="9">
        <f t="shared" si="10"/>
        <v>0</v>
      </c>
      <c r="X175" s="9">
        <f t="shared" si="15"/>
        <v>0</v>
      </c>
    </row>
    <row r="176" spans="1:24" s="3" customFormat="1" ht="15" hidden="1" customHeight="1">
      <c r="A176" s="68">
        <v>5</v>
      </c>
      <c r="B176" s="43" t="s">
        <v>235</v>
      </c>
      <c r="C176" s="30" t="s">
        <v>232</v>
      </c>
      <c r="D176" s="32">
        <f>COUNTIF($C$10:$C$149,"MMAP")</f>
        <v>11</v>
      </c>
      <c r="E176" s="69">
        <f>D176/D181</f>
        <v>7.857142857142857E-2</v>
      </c>
      <c r="F176" s="70">
        <f>COUNTIFS($C$10:$C$149,"MMAP",$H$10:$H$149,"0,00%")</f>
        <v>0</v>
      </c>
      <c r="G176" s="131">
        <f>COUNTIFS($C$10:$C$149,"MMAP",$H$10:$H$149,"&gt;0,00%")-COUNTIFS($C$10:$C$149,"MMAP",$H$10:$H$149,"100,00%")</f>
        <v>0</v>
      </c>
      <c r="H176" s="147">
        <f>COUNTIFS($C$19:$C$149,"MMAP",$H$19:$H$149,"100,00%")</f>
        <v>0</v>
      </c>
      <c r="I176" s="130">
        <f t="shared" si="11"/>
        <v>11</v>
      </c>
      <c r="J176" s="148">
        <f t="shared" si="3"/>
        <v>0</v>
      </c>
      <c r="K176" s="149"/>
      <c r="L176" s="149"/>
      <c r="M176" s="74" t="s">
        <v>232</v>
      </c>
      <c r="N176" s="174">
        <f t="shared" si="4"/>
        <v>6757788</v>
      </c>
      <c r="O176" s="167">
        <f t="shared" si="5"/>
        <v>4292735</v>
      </c>
      <c r="P176" s="168">
        <f t="shared" si="6"/>
        <v>6757788</v>
      </c>
      <c r="Q176" s="11">
        <f t="shared" si="7"/>
        <v>0</v>
      </c>
      <c r="R176" s="23">
        <f t="shared" si="8"/>
        <v>4292735</v>
      </c>
      <c r="S176" s="9">
        <f t="shared" si="9"/>
        <v>0</v>
      </c>
      <c r="T176" s="9">
        <f t="shared" si="12"/>
        <v>0</v>
      </c>
      <c r="U176" s="9">
        <f t="shared" si="13"/>
        <v>0</v>
      </c>
      <c r="V176" s="9">
        <f t="shared" si="14"/>
        <v>0</v>
      </c>
      <c r="W176" s="9">
        <f t="shared" si="10"/>
        <v>0</v>
      </c>
      <c r="X176" s="9">
        <f t="shared" si="15"/>
        <v>0</v>
      </c>
    </row>
    <row r="177" spans="1:24" s="3" customFormat="1" ht="15" hidden="1" customHeight="1">
      <c r="A177" s="68">
        <v>6</v>
      </c>
      <c r="B177" s="43" t="s">
        <v>433</v>
      </c>
      <c r="C177" s="140" t="s">
        <v>432</v>
      </c>
      <c r="D177" s="32">
        <f>COUNTIF($C$10:$C$149,"MEEMA")</f>
        <v>0</v>
      </c>
      <c r="E177" s="69">
        <f>D177/D181</f>
        <v>0</v>
      </c>
      <c r="F177" s="70">
        <f>COUNTIFS($C$19:$C$149,"ME",$H$19:$H$149,"0,00%")</f>
        <v>0</v>
      </c>
      <c r="G177" s="131">
        <f>COUNTIFS($C$19:$C$149,"ME",$H$19:$H$149,"&gt;0,00%")-COUNTIFS($C$19:$C$149,"ME",$H$19:$H$149,"100,00%")</f>
        <v>0</v>
      </c>
      <c r="H177" s="147">
        <f>COUNTIFS($C$19:$C$149,"ME",$H$19:$H$149,"100,00%")</f>
        <v>0</v>
      </c>
      <c r="I177" s="130">
        <f t="shared" si="11"/>
        <v>0</v>
      </c>
      <c r="J177" s="148">
        <f t="shared" si="3"/>
        <v>0</v>
      </c>
      <c r="K177" s="149"/>
      <c r="L177" s="149"/>
      <c r="M177" s="71" t="s">
        <v>432</v>
      </c>
      <c r="N177" s="174">
        <f t="shared" si="4"/>
        <v>0</v>
      </c>
      <c r="O177" s="167">
        <f t="shared" si="5"/>
        <v>0</v>
      </c>
      <c r="P177" s="168">
        <f t="shared" si="6"/>
        <v>0</v>
      </c>
      <c r="Q177" s="11">
        <f t="shared" si="7"/>
        <v>0</v>
      </c>
      <c r="R177" s="23">
        <f t="shared" si="8"/>
        <v>0</v>
      </c>
      <c r="S177" s="9">
        <f t="shared" si="9"/>
        <v>0</v>
      </c>
      <c r="T177" s="9">
        <f t="shared" si="12"/>
        <v>0</v>
      </c>
      <c r="U177" s="9">
        <f t="shared" si="13"/>
        <v>0</v>
      </c>
      <c r="V177" s="9">
        <f t="shared" si="14"/>
        <v>0</v>
      </c>
      <c r="W177" s="9">
        <f t="shared" si="10"/>
        <v>0</v>
      </c>
      <c r="X177" s="9">
        <f t="shared" si="15"/>
        <v>0</v>
      </c>
    </row>
    <row r="178" spans="1:24" s="3" customFormat="1" ht="15" hidden="1" customHeight="1">
      <c r="A178" s="68">
        <v>7</v>
      </c>
      <c r="B178" s="43" t="s">
        <v>434</v>
      </c>
      <c r="C178" s="32" t="s">
        <v>275</v>
      </c>
      <c r="D178" s="32">
        <f>COUNTIF($C$10:$C$149,"MCID")</f>
        <v>2</v>
      </c>
      <c r="E178" s="69">
        <f>D178/D181</f>
        <v>1.4285714285714285E-2</v>
      </c>
      <c r="F178" s="70">
        <f>COUNTIFS($C$10:$C$149,"MCID",$H$10:$H$149,"0,00%")</f>
        <v>0</v>
      </c>
      <c r="G178" s="131">
        <f>COUNTIFS($C$10:$C$149,"MCID",$H$10:$H$149,"&gt;0,00%")-COUNTIFS($C$10:$C$149,"MCID",$H$10:$H$149,"100,00%")</f>
        <v>0</v>
      </c>
      <c r="H178" s="147">
        <f>COUNTIFS($C$19:$C$149,"MCID",$H$19:$H$149,"100,00%")</f>
        <v>0</v>
      </c>
      <c r="I178" s="130">
        <f t="shared" si="11"/>
        <v>2</v>
      </c>
      <c r="J178" s="148">
        <f t="shared" si="3"/>
        <v>0</v>
      </c>
      <c r="K178" s="149"/>
      <c r="L178" s="149"/>
      <c r="M178" s="71" t="s">
        <v>275</v>
      </c>
      <c r="N178" s="174">
        <f t="shared" si="4"/>
        <v>2073960</v>
      </c>
      <c r="O178" s="167">
        <f t="shared" si="5"/>
        <v>770</v>
      </c>
      <c r="P178" s="168">
        <f t="shared" si="6"/>
        <v>2073960</v>
      </c>
      <c r="Q178" s="11">
        <f t="shared" si="7"/>
        <v>0</v>
      </c>
      <c r="R178" s="23">
        <f t="shared" si="8"/>
        <v>770</v>
      </c>
      <c r="S178" s="9">
        <f t="shared" si="9"/>
        <v>0</v>
      </c>
      <c r="T178" s="9">
        <f t="shared" si="12"/>
        <v>0</v>
      </c>
      <c r="U178" s="9">
        <f t="shared" si="13"/>
        <v>0</v>
      </c>
      <c r="V178" s="9">
        <f t="shared" si="14"/>
        <v>0</v>
      </c>
      <c r="W178" s="9">
        <f t="shared" si="10"/>
        <v>0</v>
      </c>
      <c r="X178" s="9">
        <f t="shared" si="15"/>
        <v>0</v>
      </c>
    </row>
    <row r="179" spans="1:24" s="3" customFormat="1" ht="15" hidden="1" customHeight="1">
      <c r="A179" s="68">
        <v>8</v>
      </c>
      <c r="B179" s="43" t="s">
        <v>247</v>
      </c>
      <c r="C179" s="32" t="s">
        <v>247</v>
      </c>
      <c r="D179" s="32">
        <v>1</v>
      </c>
      <c r="E179" s="69">
        <f>D179/D181</f>
        <v>7.1428571428571426E-3</v>
      </c>
      <c r="F179" s="70">
        <f>COUNTIFS($C$10:$C$149,"SPP",$H$10:$H$149,"0,00%")</f>
        <v>0</v>
      </c>
      <c r="G179" s="131">
        <f>COUNTIFS($C$10:$C$149,"SPP",$H$10:$H$149,"&gt;0,00%")-COUNTIFS($C$10:$C$149,"SPP",$H$10:$H$149,"100,00%")</f>
        <v>0</v>
      </c>
      <c r="H179" s="147">
        <f>COUNTIFS($C$10:$C$149,"SPP",$H$10:$H$149,"100,00%")</f>
        <v>0</v>
      </c>
      <c r="I179" s="130">
        <f t="shared" si="11"/>
        <v>1</v>
      </c>
      <c r="J179" s="148">
        <f t="shared" si="3"/>
        <v>0</v>
      </c>
      <c r="K179" s="149"/>
      <c r="L179" s="149"/>
      <c r="M179" s="71" t="s">
        <v>247</v>
      </c>
      <c r="N179" s="174">
        <f t="shared" si="4"/>
        <v>237420</v>
      </c>
      <c r="O179" s="167">
        <f t="shared" si="5"/>
        <v>132085</v>
      </c>
      <c r="P179" s="168">
        <f>I193+C193</f>
        <v>597199</v>
      </c>
      <c r="Q179" s="11">
        <f>E193</f>
        <v>0</v>
      </c>
      <c r="R179" s="23">
        <f>I206</f>
        <v>394237</v>
      </c>
      <c r="S179" s="9">
        <f>E206</f>
        <v>0</v>
      </c>
      <c r="T179" s="9">
        <f t="shared" si="12"/>
        <v>-359779</v>
      </c>
      <c r="U179" s="9">
        <f t="shared" si="13"/>
        <v>-262152</v>
      </c>
      <c r="V179" s="9">
        <f t="shared" si="14"/>
        <v>0</v>
      </c>
      <c r="W179" s="9">
        <f t="shared" si="10"/>
        <v>0</v>
      </c>
      <c r="X179" s="9">
        <f t="shared" si="15"/>
        <v>0</v>
      </c>
    </row>
    <row r="180" spans="1:24" s="3" customFormat="1" ht="15" hidden="1" customHeight="1">
      <c r="A180" s="68">
        <v>9</v>
      </c>
      <c r="B180" s="43" t="s">
        <v>75</v>
      </c>
      <c r="C180" s="32" t="s">
        <v>76</v>
      </c>
      <c r="D180" s="32">
        <f>COUNTIF($C$10:$C$149,"MApN")</f>
        <v>4</v>
      </c>
      <c r="E180" s="69">
        <f>D180/D181</f>
        <v>2.8571428571428571E-2</v>
      </c>
      <c r="F180" s="70">
        <f>COUNTIFS($C$10:$C$149,"MApN",$H$10:$H$149,"0,00%")</f>
        <v>0</v>
      </c>
      <c r="G180" s="131">
        <f>COUNTIFS($C$19:$C$149,"MApN",$H$19:$H$149,"&gt;0,00%")-COUNTIFS($C$19:$C$149,"MApN",$H$19:$H$149,"100,00%")</f>
        <v>0</v>
      </c>
      <c r="H180" s="147">
        <f>COUNTIFS($C$10:$C$149,"MApN",$H$10:$H$149,"100,00%")</f>
        <v>0</v>
      </c>
      <c r="I180" s="130">
        <f t="shared" si="11"/>
        <v>4</v>
      </c>
      <c r="J180" s="148">
        <f t="shared" si="3"/>
        <v>0</v>
      </c>
      <c r="K180" s="149"/>
      <c r="L180" s="149"/>
      <c r="M180" s="71" t="str">
        <f>C180</f>
        <v>MApN</v>
      </c>
      <c r="N180" s="174">
        <f t="shared" si="4"/>
        <v>597199</v>
      </c>
      <c r="O180" s="167">
        <f t="shared" si="5"/>
        <v>394237</v>
      </c>
      <c r="P180" s="168">
        <f>I193+C193</f>
        <v>597199</v>
      </c>
      <c r="Q180" s="11">
        <f>E193</f>
        <v>0</v>
      </c>
      <c r="R180" s="23">
        <f>I206</f>
        <v>394237</v>
      </c>
      <c r="S180" s="9">
        <f>E206</f>
        <v>0</v>
      </c>
      <c r="T180" s="9">
        <f t="shared" si="12"/>
        <v>0</v>
      </c>
      <c r="U180" s="9">
        <f t="shared" si="13"/>
        <v>0</v>
      </c>
      <c r="V180" s="9">
        <f t="shared" si="14"/>
        <v>0</v>
      </c>
      <c r="W180" s="9">
        <f t="shared" si="10"/>
        <v>0</v>
      </c>
      <c r="X180" s="9">
        <f t="shared" si="15"/>
        <v>0</v>
      </c>
    </row>
    <row r="181" spans="1:24" s="3" customFormat="1" ht="15" hidden="1" customHeight="1" thickBot="1">
      <c r="A181" s="52"/>
      <c r="B181" s="179"/>
      <c r="C181" s="52"/>
      <c r="D181" s="117">
        <f>SUM(D172:D180)</f>
        <v>140</v>
      </c>
      <c r="E181" s="75">
        <f>SUM(E172:E180)</f>
        <v>0.99999999999999989</v>
      </c>
      <c r="F181" s="129">
        <f>SUM(F172:F180)</f>
        <v>0</v>
      </c>
      <c r="G181" s="132">
        <f>SUM(G172:G180)</f>
        <v>0</v>
      </c>
      <c r="H181" s="129">
        <f>SUM(H172:H180)</f>
        <v>0</v>
      </c>
      <c r="I181" s="73"/>
      <c r="J181" s="148">
        <f>SUM(J172:J180)</f>
        <v>0</v>
      </c>
      <c r="K181" s="150"/>
      <c r="L181" s="150"/>
      <c r="M181" s="76"/>
      <c r="N181" s="169">
        <f>SUM(N172:N180)</f>
        <v>203615331</v>
      </c>
      <c r="O181" s="170">
        <f>SUM(O172:O180)</f>
        <v>134644869</v>
      </c>
      <c r="P181" s="168">
        <f>I194+C194</f>
        <v>203615331</v>
      </c>
      <c r="Q181" s="11">
        <f>E194</f>
        <v>0</v>
      </c>
      <c r="R181" s="23">
        <f>I207</f>
        <v>134644869</v>
      </c>
      <c r="S181" s="9">
        <f>E207</f>
        <v>0</v>
      </c>
      <c r="T181" s="9">
        <f>N181-P181-Q181</f>
        <v>0</v>
      </c>
      <c r="U181" s="9">
        <f>O181-R181-S181</f>
        <v>0</v>
      </c>
      <c r="V181" s="9">
        <f t="shared" si="14"/>
        <v>0</v>
      </c>
      <c r="W181" s="9">
        <f t="shared" si="10"/>
        <v>0</v>
      </c>
      <c r="X181" s="9">
        <f t="shared" si="15"/>
        <v>0</v>
      </c>
    </row>
    <row r="182" spans="1:24" s="3" customFormat="1" ht="15" hidden="1" customHeight="1">
      <c r="A182" s="33"/>
      <c r="B182" s="181"/>
      <c r="C182" s="52"/>
      <c r="D182" s="52"/>
      <c r="E182" s="54">
        <f>F181+G181+H181</f>
        <v>0</v>
      </c>
      <c r="F182" s="54"/>
      <c r="G182" s="87"/>
      <c r="H182" s="54"/>
      <c r="I182" s="50"/>
      <c r="J182" s="51"/>
      <c r="K182" s="51"/>
      <c r="L182" s="51"/>
      <c r="M182" s="34" t="s">
        <v>95</v>
      </c>
      <c r="N182" s="77">
        <f>J150-N181</f>
        <v>0</v>
      </c>
      <c r="O182" s="78">
        <f>M150-O181</f>
        <v>0</v>
      </c>
      <c r="P182" s="412">
        <f>P181+Q181</f>
        <v>203615331</v>
      </c>
      <c r="Q182" s="413"/>
      <c r="R182" s="414">
        <f>R181+S181</f>
        <v>134644869</v>
      </c>
      <c r="S182" s="414"/>
    </row>
    <row r="183" spans="1:24" s="3" customFormat="1" ht="15" hidden="1" customHeight="1" thickBot="1">
      <c r="A183" s="33"/>
      <c r="B183" s="181"/>
      <c r="C183" s="52"/>
      <c r="D183" s="52"/>
      <c r="E183" s="54"/>
      <c r="F183" s="54"/>
      <c r="G183" s="87"/>
      <c r="H183" s="54"/>
      <c r="I183" s="50"/>
      <c r="J183" s="51"/>
      <c r="K183" s="51"/>
      <c r="L183" s="51"/>
      <c r="M183" s="53"/>
      <c r="N183" s="164" t="s">
        <v>96</v>
      </c>
      <c r="O183" s="164" t="s">
        <v>97</v>
      </c>
      <c r="P183" s="176"/>
      <c r="Q183" s="177"/>
      <c r="R183" s="178"/>
      <c r="S183" s="178"/>
    </row>
    <row r="184" spans="1:24" s="3" customFormat="1" ht="15" hidden="1" customHeight="1" thickBot="1">
      <c r="A184" s="33"/>
      <c r="B184" s="56" t="s">
        <v>83</v>
      </c>
      <c r="C184" s="79" t="s">
        <v>86</v>
      </c>
      <c r="D184" s="80"/>
      <c r="E184" s="119" t="s">
        <v>87</v>
      </c>
      <c r="F184" s="133" t="s">
        <v>237</v>
      </c>
      <c r="G184" s="64" t="s">
        <v>84</v>
      </c>
      <c r="H184" s="151" t="s">
        <v>91</v>
      </c>
      <c r="I184" s="123" t="s">
        <v>236</v>
      </c>
      <c r="J184" s="152"/>
      <c r="K184" s="152"/>
      <c r="L184" s="152"/>
      <c r="M184" s="53"/>
      <c r="N184" s="165"/>
      <c r="O184" s="165"/>
      <c r="P184" s="182"/>
      <c r="R184" s="20"/>
    </row>
    <row r="185" spans="1:24" s="3" customFormat="1" ht="15" hidden="1" customHeight="1" thickBot="1">
      <c r="A185" s="33"/>
      <c r="B185" s="81" t="s">
        <v>269</v>
      </c>
      <c r="C185" s="72">
        <f>SUMIFS($J$10:$J$166,$C$10:$C$166,"MTI",$H$10:$H$166,"0,00%")</f>
        <v>0</v>
      </c>
      <c r="D185" s="72"/>
      <c r="E185" s="120">
        <f>SUMIFS($J$10:$J$149,$C$10:$C$149,"MTI",$H$10:$H$149,"100,00%")</f>
        <v>0</v>
      </c>
      <c r="F185" s="134">
        <f t="shared" ref="F185:F193" si="16">C185+E185</f>
        <v>0</v>
      </c>
      <c r="G185" s="118">
        <f t="shared" ref="G185:G193" si="17">N172</f>
        <v>180075080</v>
      </c>
      <c r="H185" s="153">
        <f>G185-F185-I185</f>
        <v>0</v>
      </c>
      <c r="I185" s="123">
        <f>G185-F185</f>
        <v>180075080</v>
      </c>
      <c r="J185" s="152"/>
      <c r="K185" s="152"/>
      <c r="L185" s="152"/>
      <c r="M185" s="111" t="s">
        <v>269</v>
      </c>
      <c r="N185" s="83">
        <f t="shared" ref="N185:N190" si="18">N172/$N$181</f>
        <v>0.88438861217184084</v>
      </c>
      <c r="O185" s="83">
        <f t="shared" ref="O185:O193" si="19">O172/$O$181</f>
        <v>0.86621127018215605</v>
      </c>
      <c r="P185" s="182"/>
      <c r="Q185" s="415" t="s">
        <v>114</v>
      </c>
      <c r="R185" s="416"/>
      <c r="S185" s="417"/>
      <c r="T185" s="8" t="e">
        <f>T187+T193+T197+T202+T208+T213</f>
        <v>#REF!</v>
      </c>
    </row>
    <row r="186" spans="1:24" s="3" customFormat="1" ht="15" hidden="1" customHeight="1" thickBot="1">
      <c r="A186" s="33"/>
      <c r="B186" s="71" t="s">
        <v>9</v>
      </c>
      <c r="C186" s="72">
        <f>SUMIFS($J$10:$J$149,$C$10:$C$149,"MS",$H$10:$H$149,"0,00%")</f>
        <v>0</v>
      </c>
      <c r="D186" s="72"/>
      <c r="E186" s="120">
        <f>SUMIFS($J$10:$J$149,$C$10:$C$149,"MS",$H$10:$H$149,"100,00%")</f>
        <v>0</v>
      </c>
      <c r="F186" s="134">
        <f t="shared" si="16"/>
        <v>0</v>
      </c>
      <c r="G186" s="118">
        <f t="shared" si="17"/>
        <v>9599320</v>
      </c>
      <c r="H186" s="153">
        <f t="shared" ref="H186:H192" si="20">G186-F186-I186</f>
        <v>0</v>
      </c>
      <c r="I186" s="123">
        <f t="shared" ref="I186:I192" si="21">G186-F186</f>
        <v>9599320</v>
      </c>
      <c r="J186" s="154"/>
      <c r="K186" s="154"/>
      <c r="L186" s="154"/>
      <c r="M186" s="112" t="s">
        <v>9</v>
      </c>
      <c r="N186" s="83">
        <f t="shared" si="18"/>
        <v>4.7144387177800479E-2</v>
      </c>
      <c r="O186" s="83">
        <f t="shared" si="19"/>
        <v>6.9487816873289102E-2</v>
      </c>
      <c r="P186" s="182"/>
      <c r="Q186" s="18" t="s">
        <v>106</v>
      </c>
      <c r="R186" s="8" t="s">
        <v>109</v>
      </c>
      <c r="S186" s="8" t="s">
        <v>110</v>
      </c>
      <c r="T186" s="24" t="s">
        <v>111</v>
      </c>
    </row>
    <row r="187" spans="1:24" s="3" customFormat="1" ht="15" hidden="1" customHeight="1" thickBot="1">
      <c r="A187" s="33"/>
      <c r="B187" s="71" t="s">
        <v>28</v>
      </c>
      <c r="C187" s="72">
        <f>SUMIFS($J$10:$J$149,$C$10:$C$149,"MJ",$H$10:$H$149,"0,00%")</f>
        <v>0</v>
      </c>
      <c r="D187" s="72"/>
      <c r="E187" s="120">
        <f>SUMIFS($J$10:$J$149,$C$10:$C$149,"MJ",$H$10:$H$149,"100,00%")</f>
        <v>0</v>
      </c>
      <c r="F187" s="134">
        <f t="shared" si="16"/>
        <v>0</v>
      </c>
      <c r="G187" s="118">
        <f t="shared" si="17"/>
        <v>971663</v>
      </c>
      <c r="H187" s="153">
        <f t="shared" si="20"/>
        <v>0</v>
      </c>
      <c r="I187" s="123">
        <f t="shared" si="21"/>
        <v>971663</v>
      </c>
      <c r="J187" s="154"/>
      <c r="K187" s="154"/>
      <c r="L187" s="154"/>
      <c r="M187" s="112" t="s">
        <v>28</v>
      </c>
      <c r="N187" s="83">
        <f t="shared" si="18"/>
        <v>4.772052257695664E-3</v>
      </c>
      <c r="O187" s="83">
        <f t="shared" si="19"/>
        <v>7.0168139864282535E-3</v>
      </c>
      <c r="P187" s="182"/>
      <c r="Q187" s="25" t="s">
        <v>107</v>
      </c>
      <c r="R187" s="26" t="e">
        <f>SUMIF(#REF!,#REF!,J$10:J$149)</f>
        <v>#REF!</v>
      </c>
      <c r="S187" s="5" t="e">
        <f>SUMIF(#REF!,#REF!,M$10:M$149)</f>
        <v>#REF!</v>
      </c>
      <c r="T187" s="8" t="e">
        <f>COUNTIF(#REF!,"S.C. Metrorex S.A.")</f>
        <v>#REF!</v>
      </c>
    </row>
    <row r="188" spans="1:24" s="3" customFormat="1" ht="15" hidden="1" customHeight="1" thickBot="1">
      <c r="A188" s="33"/>
      <c r="B188" s="107" t="s">
        <v>270</v>
      </c>
      <c r="C188" s="72">
        <f>SUMIFS($J$10:$J$149,$C$10:$C$149,"MDLPA",$H$10:$H$149,"0,00%")</f>
        <v>0</v>
      </c>
      <c r="D188" s="72"/>
      <c r="E188" s="120">
        <f>SUMIFS($J$10:$J$149,$C$10:$C$149,"MDLPA",$H$10:$H$149,"100,00%")</f>
        <v>0</v>
      </c>
      <c r="F188" s="134">
        <f t="shared" si="16"/>
        <v>0</v>
      </c>
      <c r="G188" s="118">
        <f t="shared" si="17"/>
        <v>3302901</v>
      </c>
      <c r="H188" s="153">
        <f t="shared" si="20"/>
        <v>0</v>
      </c>
      <c r="I188" s="123">
        <f t="shared" si="21"/>
        <v>3302901</v>
      </c>
      <c r="J188" s="154"/>
      <c r="K188" s="154"/>
      <c r="L188" s="154"/>
      <c r="M188" s="112" t="s">
        <v>270</v>
      </c>
      <c r="N188" s="83">
        <f t="shared" si="18"/>
        <v>1.6221278544099414E-2</v>
      </c>
      <c r="O188" s="83">
        <f t="shared" si="19"/>
        <v>2.1487510229595157E-2</v>
      </c>
      <c r="P188" s="182"/>
      <c r="Q188" s="25" t="s">
        <v>108</v>
      </c>
      <c r="R188" s="26">
        <f>'[1]Anexa 3 iulie 2018'!$I$11</f>
        <v>15812492</v>
      </c>
      <c r="S188" s="5">
        <f>'[1]Anexa 3 iulie 2018'!$M$11</f>
        <v>10083369</v>
      </c>
      <c r="T188" s="8"/>
    </row>
    <row r="189" spans="1:24" s="3" customFormat="1" ht="15" hidden="1" customHeight="1" thickBot="1">
      <c r="A189" s="33"/>
      <c r="B189" s="74" t="s">
        <v>232</v>
      </c>
      <c r="C189" s="72">
        <f>SUMIFS($J$10:$J$149,$C$10:$C$149,"MMAP",$H$10:$H$149,"0,00%")</f>
        <v>0</v>
      </c>
      <c r="D189" s="72"/>
      <c r="E189" s="120">
        <f>SUMIFS($J$10:$J$149,$C$10:$C$149,"MMAP",$H$10:$H$149,"100,00%")</f>
        <v>0</v>
      </c>
      <c r="F189" s="134">
        <f t="shared" si="16"/>
        <v>0</v>
      </c>
      <c r="G189" s="118">
        <f t="shared" si="17"/>
        <v>6757788</v>
      </c>
      <c r="H189" s="153">
        <f t="shared" si="20"/>
        <v>0</v>
      </c>
      <c r="I189" s="123">
        <f t="shared" si="21"/>
        <v>6757788</v>
      </c>
      <c r="J189" s="154"/>
      <c r="K189" s="154"/>
      <c r="L189" s="154"/>
      <c r="M189" s="113" t="s">
        <v>232</v>
      </c>
      <c r="N189" s="83">
        <f t="shared" si="18"/>
        <v>3.3188994005564347E-2</v>
      </c>
      <c r="O189" s="83">
        <f t="shared" si="19"/>
        <v>3.1881905577850131E-2</v>
      </c>
      <c r="P189" s="182"/>
      <c r="Q189" s="25" t="s">
        <v>77</v>
      </c>
      <c r="R189" s="26" t="e">
        <f>R187-R188</f>
        <v>#REF!</v>
      </c>
      <c r="S189" s="26" t="e">
        <f>S187-S188</f>
        <v>#REF!</v>
      </c>
      <c r="T189" s="8"/>
    </row>
    <row r="190" spans="1:24" s="3" customFormat="1" ht="15" hidden="1" customHeight="1" thickBot="1">
      <c r="A190" s="33"/>
      <c r="B190" s="71" t="s">
        <v>432</v>
      </c>
      <c r="C190" s="72">
        <f>SUMIFS($J$10:$J$149,$C$10:$C$149,"ME",$H$10:$H$149,"0,00%")</f>
        <v>0</v>
      </c>
      <c r="D190" s="72"/>
      <c r="E190" s="120">
        <f>SUMIFS($J$19:$J$149,$C$19:$C$149,"ME",$H$19:$H$149,"100,00%")</f>
        <v>0</v>
      </c>
      <c r="F190" s="134">
        <f t="shared" si="16"/>
        <v>0</v>
      </c>
      <c r="G190" s="118">
        <f t="shared" si="17"/>
        <v>0</v>
      </c>
      <c r="H190" s="153">
        <f t="shared" si="20"/>
        <v>0</v>
      </c>
      <c r="I190" s="123">
        <f t="shared" si="21"/>
        <v>0</v>
      </c>
      <c r="J190" s="154"/>
      <c r="K190" s="154"/>
      <c r="L190" s="154"/>
      <c r="M190" s="112" t="s">
        <v>432</v>
      </c>
      <c r="N190" s="83">
        <f t="shared" si="18"/>
        <v>0</v>
      </c>
      <c r="O190" s="83">
        <f t="shared" si="19"/>
        <v>0</v>
      </c>
      <c r="P190" s="182"/>
      <c r="Q190" s="25"/>
      <c r="R190" s="8"/>
      <c r="S190" s="5"/>
      <c r="T190" s="8"/>
    </row>
    <row r="191" spans="1:24" s="3" customFormat="1" ht="15" hidden="1" customHeight="1" thickBot="1">
      <c r="A191" s="33"/>
      <c r="B191" s="71" t="s">
        <v>275</v>
      </c>
      <c r="C191" s="72">
        <f>SUMIFS($J$10:$J$149,$C$10:$C$149,"MCID",$H$10:$H$149,"0,00%")</f>
        <v>0</v>
      </c>
      <c r="D191" s="72"/>
      <c r="E191" s="120">
        <f>SUMIFS($J$10:$J$149,$C$10:$C$149,"MCID",$H$10:$H$149,"100,00%")</f>
        <v>0</v>
      </c>
      <c r="F191" s="134">
        <f t="shared" si="16"/>
        <v>0</v>
      </c>
      <c r="G191" s="118">
        <f t="shared" si="17"/>
        <v>2073960</v>
      </c>
      <c r="H191" s="153">
        <f t="shared" si="20"/>
        <v>0</v>
      </c>
      <c r="I191" s="123">
        <f t="shared" si="21"/>
        <v>2073960</v>
      </c>
      <c r="J191" s="154"/>
      <c r="K191" s="154"/>
      <c r="L191" s="154"/>
      <c r="M191" s="112" t="s">
        <v>247</v>
      </c>
      <c r="N191" s="83">
        <f>N179/$N$181</f>
        <v>1.1660222186314643E-3</v>
      </c>
      <c r="O191" s="83">
        <f t="shared" si="19"/>
        <v>5.7187474407212648E-6</v>
      </c>
      <c r="P191" s="182"/>
      <c r="Q191" s="18" t="s">
        <v>113</v>
      </c>
      <c r="R191" s="5" t="s">
        <v>120</v>
      </c>
      <c r="S191" s="5" t="s">
        <v>121</v>
      </c>
      <c r="T191" s="8"/>
      <c r="U191" s="3" t="s">
        <v>122</v>
      </c>
      <c r="V191" s="3" t="s">
        <v>123</v>
      </c>
      <c r="W191" s="3" t="s">
        <v>124</v>
      </c>
    </row>
    <row r="192" spans="1:24" s="3" customFormat="1" ht="15" hidden="1" customHeight="1" thickBot="1">
      <c r="A192" s="33"/>
      <c r="B192" s="137" t="s">
        <v>247</v>
      </c>
      <c r="C192" s="72">
        <f>SUMIFS($J$10:$J$149,$C$10:$C$149,"SPP",$H$10:$H$149,"0,00%")</f>
        <v>0</v>
      </c>
      <c r="D192" s="138"/>
      <c r="E192" s="120">
        <f>SUMIFS($J$10:$J$149,$C$10:$C$149,"SPP",$H$10:$H$149,"100,00%")</f>
        <v>0</v>
      </c>
      <c r="F192" s="134">
        <f t="shared" si="16"/>
        <v>0</v>
      </c>
      <c r="G192" s="118">
        <f t="shared" si="17"/>
        <v>237420</v>
      </c>
      <c r="H192" s="153">
        <f t="shared" si="20"/>
        <v>0</v>
      </c>
      <c r="I192" s="123">
        <f t="shared" si="21"/>
        <v>237420</v>
      </c>
      <c r="J192" s="154"/>
      <c r="K192" s="154"/>
      <c r="L192" s="154"/>
      <c r="M192" s="112" t="s">
        <v>275</v>
      </c>
      <c r="N192" s="83">
        <f>N178/$N$181</f>
        <v>1.018567703038039E-2</v>
      </c>
      <c r="O192" s="83">
        <f t="shared" si="19"/>
        <v>9.8098799442554322E-4</v>
      </c>
      <c r="P192" s="182"/>
      <c r="Q192" s="18"/>
      <c r="R192" s="5"/>
      <c r="S192" s="5"/>
      <c r="T192" s="8"/>
    </row>
    <row r="193" spans="1:23" s="3" customFormat="1" ht="15" hidden="1" customHeight="1" thickBot="1">
      <c r="A193" s="33"/>
      <c r="B193" s="84" t="s">
        <v>76</v>
      </c>
      <c r="C193" s="85">
        <f>SUMIFS($J$10:$J$149,$C$10:$C$149,"MApN",$H$10:$H$149,"0,00%")</f>
        <v>0</v>
      </c>
      <c r="D193" s="85"/>
      <c r="E193" s="121">
        <f>SUMIFS($J$10:$J$149,$C$10:$C$149,"MApN",$H$10:$H$149,"100,00%")</f>
        <v>0</v>
      </c>
      <c r="F193" s="134">
        <f t="shared" si="16"/>
        <v>0</v>
      </c>
      <c r="G193" s="118">
        <f t="shared" si="17"/>
        <v>597199</v>
      </c>
      <c r="H193" s="153">
        <f>G193-F193-I193</f>
        <v>0</v>
      </c>
      <c r="I193" s="123">
        <f>G193-F193</f>
        <v>597199</v>
      </c>
      <c r="J193" s="154"/>
      <c r="K193" s="154"/>
      <c r="L193" s="154"/>
      <c r="M193" s="114" t="s">
        <v>76</v>
      </c>
      <c r="N193" s="83">
        <f>N180/$N$181</f>
        <v>2.9329765939874143E-3</v>
      </c>
      <c r="O193" s="83">
        <f t="shared" si="19"/>
        <v>2.927976408815103E-3</v>
      </c>
      <c r="P193" s="182"/>
      <c r="Q193" s="25" t="s">
        <v>112</v>
      </c>
      <c r="R193" s="5" t="e">
        <f>SUMIF(#REF!,#REF!,J$10:J$149)</f>
        <v>#REF!</v>
      </c>
      <c r="S193" s="5" t="e">
        <f>SUMIF(#REF!,#REF!,M$10:M$149)</f>
        <v>#REF!</v>
      </c>
      <c r="T193" s="8" t="e">
        <f>COUNTIF(#REF!,"CNAIR S.A.")</f>
        <v>#REF!</v>
      </c>
      <c r="U193" s="27" t="e">
        <f>SUMIF(#REF!,#REF!,G$10:G$149)</f>
        <v>#REF!</v>
      </c>
      <c r="V193" s="27" t="e">
        <f>SUMIF(#REF!,#REF!,H$10:H$149)</f>
        <v>#REF!</v>
      </c>
      <c r="W193" s="27" t="e">
        <f>SUMIF(#REF!,#REF!,I$10:I$149)</f>
        <v>#REF!</v>
      </c>
    </row>
    <row r="194" spans="1:23" s="3" customFormat="1" ht="15" hidden="1" customHeight="1" thickBot="1">
      <c r="A194" s="33"/>
      <c r="B194" s="86"/>
      <c r="C194" s="85">
        <f>SUM(C185:C193)</f>
        <v>0</v>
      </c>
      <c r="D194" s="87"/>
      <c r="E194" s="122">
        <f>SUM(E185:E193)</f>
        <v>0</v>
      </c>
      <c r="F194" s="128">
        <f>SUM(F185:F193)</f>
        <v>0</v>
      </c>
      <c r="G194" s="82">
        <f>SUM(G185:G193)</f>
        <v>203615331</v>
      </c>
      <c r="H194" s="54"/>
      <c r="I194" s="124">
        <f>SUM(I185:I193)</f>
        <v>203615331</v>
      </c>
      <c r="J194" s="154"/>
      <c r="K194" s="154"/>
      <c r="L194" s="154"/>
      <c r="M194" s="34"/>
      <c r="N194" s="90">
        <f>SUM(N185:N193)</f>
        <v>0.99999999999999989</v>
      </c>
      <c r="O194" s="90">
        <f>SUM(O185:O193)</f>
        <v>1</v>
      </c>
      <c r="P194" s="182"/>
      <c r="Q194" s="25" t="s">
        <v>108</v>
      </c>
      <c r="R194" s="5">
        <f>'[2]Anexa nr 3'!$I$100</f>
        <v>108444423.36452997</v>
      </c>
      <c r="S194" s="5">
        <f>'[2]Anexa nr 3'!$M$100</f>
        <v>65459951.74453</v>
      </c>
      <c r="T194" s="8"/>
      <c r="U194" s="27">
        <f>'[3]anexa 2 PUNCTAJ'!$F$192</f>
        <v>6980.5</v>
      </c>
      <c r="V194" s="27">
        <f>'[2]Anexa nr 3'!$F$100*100</f>
        <v>5702.5800000000008</v>
      </c>
      <c r="W194" s="27">
        <f>'[2]Anexa nr 3'!$G$100*100</f>
        <v>4994.5301788876441</v>
      </c>
    </row>
    <row r="195" spans="1:23" s="3" customFormat="1" ht="15" hidden="1" customHeight="1">
      <c r="A195" s="33"/>
      <c r="B195" s="181"/>
      <c r="C195" s="89"/>
      <c r="D195" s="52"/>
      <c r="E195" s="54">
        <f>I194</f>
        <v>203615331</v>
      </c>
      <c r="F195" s="122">
        <f>F194-E194-C194</f>
        <v>0</v>
      </c>
      <c r="G195" s="87"/>
      <c r="H195" s="54"/>
      <c r="I195" s="50"/>
      <c r="J195" s="154"/>
      <c r="K195" s="154"/>
      <c r="L195" s="154"/>
      <c r="M195" s="34"/>
      <c r="N195" s="90" t="s">
        <v>80</v>
      </c>
      <c r="O195" s="90" t="s">
        <v>80</v>
      </c>
      <c r="P195" s="182"/>
      <c r="Q195" s="25" t="s">
        <v>77</v>
      </c>
      <c r="R195" s="5" t="e">
        <f>R193-R194</f>
        <v>#REF!</v>
      </c>
      <c r="S195" s="5" t="e">
        <f>S193-S194</f>
        <v>#REF!</v>
      </c>
      <c r="T195" s="8"/>
      <c r="U195" s="27" t="e">
        <f>U193-U194</f>
        <v>#REF!</v>
      </c>
      <c r="V195" s="27" t="e">
        <f>V193-V194</f>
        <v>#REF!</v>
      </c>
      <c r="W195" s="27" t="e">
        <f>W193-W194</f>
        <v>#REF!</v>
      </c>
    </row>
    <row r="196" spans="1:23" s="3" customFormat="1" ht="15" hidden="1" customHeight="1" thickBot="1">
      <c r="A196" s="33"/>
      <c r="B196" s="181"/>
      <c r="C196" s="33"/>
      <c r="D196" s="33"/>
      <c r="E196" s="50"/>
      <c r="F196" s="2"/>
      <c r="G196" s="94"/>
      <c r="H196" s="50"/>
      <c r="I196" s="54"/>
      <c r="J196" s="154"/>
      <c r="K196" s="154"/>
      <c r="L196" s="154"/>
      <c r="N196" s="175"/>
      <c r="P196" s="182"/>
      <c r="Q196" s="25"/>
      <c r="R196" s="5"/>
      <c r="S196" s="5"/>
      <c r="T196" s="8" t="s">
        <v>125</v>
      </c>
      <c r="U196" s="28"/>
    </row>
    <row r="197" spans="1:23" s="3" customFormat="1" ht="15" hidden="1" customHeight="1" thickBot="1">
      <c r="A197" s="33"/>
      <c r="B197" s="91" t="s">
        <v>82</v>
      </c>
      <c r="C197" s="92">
        <v>0</v>
      </c>
      <c r="D197" s="92"/>
      <c r="E197" s="92">
        <v>100</v>
      </c>
      <c r="F197" s="135" t="s">
        <v>238</v>
      </c>
      <c r="G197" s="94" t="s">
        <v>84</v>
      </c>
      <c r="H197" s="50" t="s">
        <v>67</v>
      </c>
      <c r="I197" s="125" t="s">
        <v>236</v>
      </c>
      <c r="J197" s="34"/>
      <c r="K197" s="34"/>
      <c r="L197" s="34"/>
      <c r="M197" s="53"/>
      <c r="N197" s="53"/>
      <c r="O197" s="52"/>
      <c r="P197" s="182"/>
      <c r="Q197" s="18" t="s">
        <v>115</v>
      </c>
      <c r="R197" s="6" t="e">
        <f>R198+R203</f>
        <v>#REF!</v>
      </c>
      <c r="S197" s="6" t="e">
        <f>S198+S203</f>
        <v>#REF!</v>
      </c>
      <c r="T197" s="8" t="e">
        <f>COUNTIF(#REF!,"CN Administraţia Porturilor Maritime SA Constanţa")</f>
        <v>#REF!</v>
      </c>
    </row>
    <row r="198" spans="1:23" s="3" customFormat="1" ht="15" hidden="1" customHeight="1" thickBot="1">
      <c r="A198" s="33"/>
      <c r="B198" s="115" t="s">
        <v>219</v>
      </c>
      <c r="C198" s="72">
        <f>SUMIFS($M$19:$M$166,$C$19:$C$166,"MTI",$H$19:$H$166,"0,00%")</f>
        <v>0</v>
      </c>
      <c r="D198" s="72"/>
      <c r="E198" s="127">
        <f>SUMIFS($M$19:$M$149,$C$19:$C$149,"MTIC",$H$19:$H$149,"100,00%")</f>
        <v>0</v>
      </c>
      <c r="F198" s="127">
        <f>C198+E198</f>
        <v>0</v>
      </c>
      <c r="G198" s="82">
        <f t="shared" ref="G198:G206" si="22">O172</f>
        <v>116630903</v>
      </c>
      <c r="H198" s="153">
        <f>G198-F198-I198</f>
        <v>0</v>
      </c>
      <c r="I198" s="123">
        <f>G198-F198</f>
        <v>116630903</v>
      </c>
      <c r="J198" s="34"/>
      <c r="K198" s="34"/>
      <c r="L198" s="34"/>
      <c r="M198" s="53"/>
      <c r="N198" s="53"/>
      <c r="O198" s="52"/>
      <c r="P198" s="182"/>
      <c r="Q198" s="25" t="s">
        <v>112</v>
      </c>
      <c r="R198" s="5" t="e">
        <f>SUMIF(#REF!,#REF!,J$10:J$149)</f>
        <v>#REF!</v>
      </c>
      <c r="S198" s="17" t="e">
        <f>SUMIF(#REF!,#REF!,M$10:M$149)</f>
        <v>#REF!</v>
      </c>
      <c r="T198" s="8"/>
    </row>
    <row r="199" spans="1:23" s="3" customFormat="1" ht="15" hidden="1" customHeight="1" thickBot="1">
      <c r="A199" s="33"/>
      <c r="B199" s="115" t="s">
        <v>9</v>
      </c>
      <c r="C199" s="72">
        <f>SUMIFS($M$19:$M$166,$C$19:$C$166,"MS",$H$19:$H$166,"0,00%")</f>
        <v>0</v>
      </c>
      <c r="D199" s="72"/>
      <c r="E199" s="127">
        <f>SUMIFS($M$19:$M$149,$C$19:$C$149,"MS",$H$19:$H$149,"100,00%")</f>
        <v>0</v>
      </c>
      <c r="F199" s="127">
        <f t="shared" ref="F199:F205" si="23">C199+E199</f>
        <v>0</v>
      </c>
      <c r="G199" s="82">
        <f t="shared" si="22"/>
        <v>9356178</v>
      </c>
      <c r="H199" s="153">
        <f t="shared" ref="H199:H206" si="24">G199-F199-I199</f>
        <v>0</v>
      </c>
      <c r="I199" s="123">
        <f t="shared" ref="I199:I205" si="25">G199-F199</f>
        <v>9356178</v>
      </c>
      <c r="J199" s="34"/>
      <c r="K199" s="34"/>
      <c r="L199" s="34"/>
      <c r="M199" s="34"/>
      <c r="N199" s="53"/>
      <c r="O199" s="52"/>
      <c r="P199" s="182"/>
      <c r="Q199" s="25" t="s">
        <v>108</v>
      </c>
      <c r="R199" s="5"/>
      <c r="S199" s="17"/>
      <c r="T199" s="8"/>
    </row>
    <row r="200" spans="1:23" s="3" customFormat="1" ht="15" hidden="1" customHeight="1" thickBot="1">
      <c r="A200" s="93"/>
      <c r="B200" s="115" t="s">
        <v>28</v>
      </c>
      <c r="C200" s="72">
        <f>SUMIFS($M$19:$M$166,$C$19:$C$166,"MJ",$H$19:$H$166,"0,00%")</f>
        <v>0</v>
      </c>
      <c r="D200" s="72"/>
      <c r="E200" s="127">
        <f>SUMIFS($M$19:$M$149,$C$19:$C$149,"MJ",$H$19:$H$149,"100,00%")</f>
        <v>0</v>
      </c>
      <c r="F200" s="127">
        <f t="shared" si="23"/>
        <v>0</v>
      </c>
      <c r="G200" s="82">
        <f t="shared" si="22"/>
        <v>944778</v>
      </c>
      <c r="H200" s="153">
        <f t="shared" si="24"/>
        <v>0</v>
      </c>
      <c r="I200" s="123">
        <f t="shared" si="25"/>
        <v>944778</v>
      </c>
      <c r="J200" s="34"/>
      <c r="K200" s="34"/>
      <c r="L200" s="34"/>
      <c r="M200" s="53"/>
      <c r="N200" s="53"/>
      <c r="O200" s="52"/>
      <c r="P200" s="182"/>
      <c r="Q200" s="25" t="s">
        <v>77</v>
      </c>
      <c r="R200" s="5" t="e">
        <f>R198-R199</f>
        <v>#REF!</v>
      </c>
      <c r="S200" s="5" t="e">
        <f>S198-S199</f>
        <v>#REF!</v>
      </c>
      <c r="T200" s="8"/>
    </row>
    <row r="201" spans="1:23" s="3" customFormat="1" ht="15" hidden="1" customHeight="1" thickBot="1">
      <c r="A201" s="34"/>
      <c r="B201" s="115" t="s">
        <v>270</v>
      </c>
      <c r="C201" s="72">
        <f>SUMIFS($M$19:$M$166,$C$19:$C$166,"MDLPA",$H$19:$H$166,"0,00%")</f>
        <v>0</v>
      </c>
      <c r="D201" s="72"/>
      <c r="E201" s="127">
        <f>SUMIFS($M$19:$M$149,$C$19:$C$149,"MLPDA",$H$19:$H$149,"100,00%")</f>
        <v>0</v>
      </c>
      <c r="F201" s="127">
        <f t="shared" si="23"/>
        <v>0</v>
      </c>
      <c r="G201" s="82">
        <f t="shared" si="22"/>
        <v>2893183</v>
      </c>
      <c r="H201" s="153">
        <f t="shared" si="24"/>
        <v>0</v>
      </c>
      <c r="I201" s="123">
        <f t="shared" si="25"/>
        <v>2893183</v>
      </c>
      <c r="J201" s="34"/>
      <c r="K201" s="34"/>
      <c r="L201" s="34"/>
      <c r="M201" s="34"/>
      <c r="N201" s="34"/>
      <c r="O201" s="33"/>
      <c r="P201" s="182"/>
      <c r="Q201" s="15"/>
      <c r="R201" s="5" t="e">
        <f>R197+R216</f>
        <v>#REF!</v>
      </c>
      <c r="S201" s="5" t="e">
        <f>S197+S216</f>
        <v>#REF!</v>
      </c>
      <c r="T201" s="8"/>
    </row>
    <row r="202" spans="1:23" s="3" customFormat="1" ht="15" hidden="1" customHeight="1" thickBot="1">
      <c r="A202" s="34"/>
      <c r="B202" s="116" t="s">
        <v>232</v>
      </c>
      <c r="C202" s="72">
        <f>SUMIFS($M$19:$M$166,$C$19:$C$166,"MMAP",$H$19:$H$166,"0,00%")</f>
        <v>0</v>
      </c>
      <c r="D202" s="72"/>
      <c r="E202" s="127">
        <f>SUMIFS($M$19:$M$149,$C$19:$C$149,"MMAP",$H$19:$H$149,"100,00%")</f>
        <v>0</v>
      </c>
      <c r="F202" s="127">
        <f>C202+E202</f>
        <v>0</v>
      </c>
      <c r="G202" s="82">
        <f t="shared" si="22"/>
        <v>4292735</v>
      </c>
      <c r="H202" s="153">
        <f t="shared" si="24"/>
        <v>0</v>
      </c>
      <c r="I202" s="123">
        <f>G202-F202</f>
        <v>4292735</v>
      </c>
      <c r="J202" s="53"/>
      <c r="K202" s="53"/>
      <c r="L202" s="53"/>
      <c r="M202" s="53"/>
      <c r="N202" s="53"/>
      <c r="O202" s="52"/>
      <c r="P202" s="182"/>
      <c r="Q202" s="16" t="s">
        <v>116</v>
      </c>
      <c r="R202" s="5"/>
      <c r="S202" s="17"/>
      <c r="T202" s="8" t="e">
        <f>COUNTIF(#REF!,"AFDJ RA Galati")</f>
        <v>#REF!</v>
      </c>
    </row>
    <row r="203" spans="1:23" s="3" customFormat="1" ht="15" hidden="1" customHeight="1" thickBot="1">
      <c r="A203" s="34"/>
      <c r="B203" s="115" t="s">
        <v>432</v>
      </c>
      <c r="C203" s="72">
        <f>SUMIFS($M$19:$M$166,$C$19:$C$166,"ME",$H$19:$H$166,"0,00%")</f>
        <v>0</v>
      </c>
      <c r="D203" s="72"/>
      <c r="E203" s="127">
        <f>SUMIFS($M$19:$M$149,$C$19:$C$149,"MEEMA",$H$19:$H$149,"100,00%")</f>
        <v>0</v>
      </c>
      <c r="F203" s="127">
        <f t="shared" si="23"/>
        <v>0</v>
      </c>
      <c r="G203" s="82">
        <f t="shared" si="22"/>
        <v>0</v>
      </c>
      <c r="H203" s="153">
        <f t="shared" si="24"/>
        <v>0</v>
      </c>
      <c r="I203" s="123">
        <f t="shared" si="25"/>
        <v>0</v>
      </c>
      <c r="J203" s="34"/>
      <c r="K203" s="34"/>
      <c r="L203" s="34"/>
      <c r="M203" s="53"/>
      <c r="N203" s="53"/>
      <c r="O203" s="52"/>
      <c r="P203" s="182"/>
      <c r="Q203" s="25" t="s">
        <v>112</v>
      </c>
      <c r="R203" s="5" t="e">
        <f>SUMIF(#REF!,#REF!,J$10:J$149)</f>
        <v>#REF!</v>
      </c>
      <c r="S203" s="17" t="e">
        <f>SUMIF(#REF!,#REF!,M$10:M$149)</f>
        <v>#REF!</v>
      </c>
      <c r="T203" s="8"/>
    </row>
    <row r="204" spans="1:23" s="3" customFormat="1" ht="15" hidden="1" customHeight="1" thickBot="1">
      <c r="A204" s="34"/>
      <c r="B204" s="115" t="s">
        <v>275</v>
      </c>
      <c r="C204" s="72">
        <f>SUMIFS($M$19:$M$166,$C$19:$C$166,"MCID",$H$19:$H$166,"0,00%")</f>
        <v>0</v>
      </c>
      <c r="D204" s="72"/>
      <c r="E204" s="127">
        <f>SUMIFS($M$19:$M$149,$C$19:$C$149,"MEC",$H$19:$H$149,"100,00%")</f>
        <v>0</v>
      </c>
      <c r="F204" s="127">
        <f t="shared" si="23"/>
        <v>0</v>
      </c>
      <c r="G204" s="82">
        <f t="shared" si="22"/>
        <v>770</v>
      </c>
      <c r="H204" s="153">
        <f t="shared" si="24"/>
        <v>0</v>
      </c>
      <c r="I204" s="123">
        <f t="shared" si="25"/>
        <v>770</v>
      </c>
      <c r="J204" s="34"/>
      <c r="K204" s="34"/>
      <c r="L204" s="34"/>
      <c r="M204" s="53"/>
      <c r="N204" s="53"/>
      <c r="O204" s="52"/>
      <c r="P204" s="182"/>
      <c r="Q204" s="25" t="s">
        <v>108</v>
      </c>
      <c r="R204" s="5"/>
      <c r="S204" s="17"/>
      <c r="T204" s="8"/>
    </row>
    <row r="205" spans="1:23" s="3" customFormat="1" ht="15" hidden="1" customHeight="1" thickBot="1">
      <c r="A205" s="34"/>
      <c r="B205" s="115" t="s">
        <v>247</v>
      </c>
      <c r="C205" s="72">
        <f>SUMIFS($M$19:$M$166,$C$19:$C$166,"SPP",$H$19:$H$166,"0,00%")</f>
        <v>0</v>
      </c>
      <c r="D205" s="72"/>
      <c r="E205" s="127">
        <f>SUMIFS($M$19:$M$149,$C$19:$C$149,"MEC",$H$19:$H$149,"100,00%")</f>
        <v>0</v>
      </c>
      <c r="F205" s="127">
        <f t="shared" si="23"/>
        <v>0</v>
      </c>
      <c r="G205" s="82">
        <f t="shared" si="22"/>
        <v>132085</v>
      </c>
      <c r="H205" s="153">
        <f t="shared" si="24"/>
        <v>0</v>
      </c>
      <c r="I205" s="123">
        <f t="shared" si="25"/>
        <v>132085</v>
      </c>
      <c r="J205" s="34"/>
      <c r="K205" s="34"/>
      <c r="L205" s="34"/>
      <c r="M205" s="53"/>
      <c r="N205" s="53"/>
      <c r="O205" s="52"/>
      <c r="P205" s="182"/>
      <c r="Q205" s="25"/>
      <c r="R205" s="5"/>
      <c r="S205" s="17"/>
      <c r="T205" s="8"/>
    </row>
    <row r="206" spans="1:23" s="3" customFormat="1" ht="15" hidden="1" customHeight="1" thickBot="1">
      <c r="A206" s="34"/>
      <c r="B206" s="115" t="s">
        <v>76</v>
      </c>
      <c r="C206" s="72">
        <f>SUMIFS($M$19:$M$166,$C$19:$C$166,"MTI",$H$19:$H$166,"0,00%")</f>
        <v>0</v>
      </c>
      <c r="D206" s="72"/>
      <c r="E206" s="127">
        <f>SUMIFS($M$19:$M$149,$C$19:$C$149,"MApN",$H$19:$H$149,"100,00%")</f>
        <v>0</v>
      </c>
      <c r="F206" s="127">
        <f>C206+E206</f>
        <v>0</v>
      </c>
      <c r="G206" s="82">
        <f t="shared" si="22"/>
        <v>394237</v>
      </c>
      <c r="H206" s="153">
        <f t="shared" si="24"/>
        <v>0</v>
      </c>
      <c r="I206" s="123">
        <f>G206-F206</f>
        <v>394237</v>
      </c>
      <c r="J206" s="53"/>
      <c r="K206" s="53"/>
      <c r="L206" s="53"/>
      <c r="M206" s="53"/>
      <c r="N206" s="53"/>
      <c r="O206" s="52"/>
      <c r="P206" s="182"/>
      <c r="Q206" s="25" t="s">
        <v>77</v>
      </c>
      <c r="R206" s="5" t="e">
        <f>R203-R204</f>
        <v>#REF!</v>
      </c>
      <c r="S206" s="5" t="e">
        <f>S203-S204</f>
        <v>#REF!</v>
      </c>
      <c r="T206" s="8"/>
    </row>
    <row r="207" spans="1:23" s="3" customFormat="1" ht="15" hidden="1" customHeight="1" thickBot="1">
      <c r="A207" s="34"/>
      <c r="B207" s="95">
        <f>C207+E207</f>
        <v>0</v>
      </c>
      <c r="C207" s="72">
        <f>SUM(C198:C206)</f>
        <v>0</v>
      </c>
      <c r="D207" s="88"/>
      <c r="E207" s="128">
        <f>SUM(E198:E206)</f>
        <v>0</v>
      </c>
      <c r="F207" s="128">
        <f>SUM(F198:F206)</f>
        <v>0</v>
      </c>
      <c r="G207" s="82">
        <f>SUM(G198:G206)</f>
        <v>134644869</v>
      </c>
      <c r="H207" s="54"/>
      <c r="I207" s="126">
        <f>SUM(I198:I206)</f>
        <v>134644869</v>
      </c>
      <c r="J207" s="53"/>
      <c r="K207" s="53"/>
      <c r="L207" s="53"/>
      <c r="M207" s="53"/>
      <c r="N207" s="53"/>
      <c r="O207" s="52"/>
      <c r="P207" s="182"/>
      <c r="Q207" s="15" t="s">
        <v>128</v>
      </c>
      <c r="R207" s="6" t="e">
        <f>R198+R203</f>
        <v>#REF!</v>
      </c>
      <c r="S207" s="6" t="e">
        <f>S198+S203</f>
        <v>#REF!</v>
      </c>
      <c r="T207" s="8"/>
    </row>
    <row r="208" spans="1:23" s="3" customFormat="1" ht="15" hidden="1" customHeight="1">
      <c r="A208" s="53"/>
      <c r="B208" s="181"/>
      <c r="C208" s="89" t="s">
        <v>81</v>
      </c>
      <c r="D208" s="52"/>
      <c r="E208" s="51">
        <f>I207</f>
        <v>134644869</v>
      </c>
      <c r="F208" s="92"/>
      <c r="G208" s="94"/>
      <c r="H208" s="50"/>
      <c r="I208" s="50">
        <f>I207+E207</f>
        <v>134644869</v>
      </c>
      <c r="J208" s="53"/>
      <c r="K208" s="53"/>
      <c r="L208" s="53"/>
      <c r="M208" s="53"/>
      <c r="N208" s="53"/>
      <c r="O208" s="52"/>
      <c r="P208" s="182"/>
      <c r="Q208" s="16" t="s">
        <v>117</v>
      </c>
      <c r="R208" s="5"/>
      <c r="S208" s="17"/>
      <c r="T208" s="8" t="e">
        <f>COUNTIF(#REF!,"CNCF CFR-SA")</f>
        <v>#REF!</v>
      </c>
    </row>
    <row r="209" spans="1:20" s="3" customFormat="1" ht="15" hidden="1" customHeight="1">
      <c r="A209" s="34"/>
      <c r="B209" s="181"/>
      <c r="C209" s="33"/>
      <c r="D209" s="33"/>
      <c r="E209" s="34"/>
      <c r="F209" s="34"/>
      <c r="G209" s="94"/>
      <c r="H209" s="50"/>
      <c r="I209" s="50"/>
      <c r="J209" s="53"/>
      <c r="K209" s="53"/>
      <c r="L209" s="53"/>
      <c r="M209" s="53"/>
      <c r="N209" s="53"/>
      <c r="O209" s="52"/>
      <c r="P209" s="182"/>
      <c r="Q209" s="25" t="s">
        <v>112</v>
      </c>
      <c r="R209" s="5" t="e">
        <f>SUMIF(#REF!,#REF!,J$10:J$149)</f>
        <v>#REF!</v>
      </c>
      <c r="S209" s="17" t="e">
        <f>SUMIF(#REF!,#REF!,M$10:M$149)</f>
        <v>#REF!</v>
      </c>
      <c r="T209" s="8"/>
    </row>
    <row r="210" spans="1:20" s="3" customFormat="1" ht="15" hidden="1" customHeight="1">
      <c r="A210" s="34"/>
      <c r="B210" s="181"/>
      <c r="C210" s="33"/>
      <c r="D210" s="33"/>
      <c r="E210" s="34"/>
      <c r="F210" s="34"/>
      <c r="G210" s="94"/>
      <c r="H210" s="50"/>
      <c r="I210" s="50"/>
      <c r="J210" s="34"/>
      <c r="K210" s="34"/>
      <c r="L210" s="34"/>
      <c r="M210" s="34"/>
      <c r="N210" s="34"/>
      <c r="O210" s="33"/>
      <c r="P210" s="182"/>
      <c r="Q210" s="25" t="s">
        <v>108</v>
      </c>
      <c r="R210" s="5">
        <f>'[4]Anexa 3 - 05.09.2018'!$I$21</f>
        <v>37207406</v>
      </c>
      <c r="S210" s="17">
        <f>'[4]Anexa 3 - 05.09.2018'!$M$21</f>
        <v>22054299.829999998</v>
      </c>
      <c r="T210" s="8"/>
    </row>
    <row r="211" spans="1:20" s="3" customFormat="1" ht="15" hidden="1" customHeight="1" thickBot="1">
      <c r="A211" s="34"/>
      <c r="B211" s="181"/>
      <c r="C211" s="96" t="s">
        <v>92</v>
      </c>
      <c r="D211" s="96"/>
      <c r="E211" s="92"/>
      <c r="F211" s="92"/>
      <c r="G211" s="94"/>
      <c r="H211" s="50"/>
      <c r="I211" s="50"/>
      <c r="J211" s="34"/>
      <c r="K211" s="34"/>
      <c r="L211" s="34"/>
      <c r="M211" s="34"/>
      <c r="N211" s="34"/>
      <c r="O211" s="33"/>
      <c r="P211" s="182"/>
      <c r="Q211" s="25" t="s">
        <v>77</v>
      </c>
      <c r="R211" s="5" t="e">
        <f>R209-R210</f>
        <v>#REF!</v>
      </c>
      <c r="S211" s="5" t="e">
        <f>S209-S210</f>
        <v>#REF!</v>
      </c>
      <c r="T211" s="8"/>
    </row>
    <row r="212" spans="1:20" s="3" customFormat="1" ht="15" hidden="1" customHeight="1" thickBot="1">
      <c r="A212" s="34"/>
      <c r="B212" s="181"/>
      <c r="C212" s="97" t="e">
        <f>C207/F207</f>
        <v>#DIV/0!</v>
      </c>
      <c r="D212" s="98"/>
      <c r="E212" s="99" t="e">
        <f>E207/F207</f>
        <v>#DIV/0!</v>
      </c>
      <c r="F212" s="100" t="e">
        <f>C212+E212</f>
        <v>#DIV/0!</v>
      </c>
      <c r="G212" s="94"/>
      <c r="H212" s="50"/>
      <c r="I212" s="50"/>
      <c r="J212" s="34"/>
      <c r="K212" s="34"/>
      <c r="L212" s="34"/>
      <c r="M212" s="34"/>
      <c r="N212" s="34"/>
      <c r="O212" s="33"/>
      <c r="P212" s="182"/>
      <c r="Q212" s="15"/>
      <c r="R212" s="5"/>
      <c r="S212" s="17"/>
      <c r="T212" s="8"/>
    </row>
    <row r="213" spans="1:20" s="3" customFormat="1" ht="15" hidden="1" customHeight="1">
      <c r="A213" s="34"/>
      <c r="B213" s="181"/>
      <c r="C213" s="33"/>
      <c r="D213" s="33"/>
      <c r="E213" s="34"/>
      <c r="F213" s="34"/>
      <c r="G213" s="94"/>
      <c r="H213" s="50"/>
      <c r="I213" s="50"/>
      <c r="J213" s="34"/>
      <c r="K213" s="34"/>
      <c r="L213" s="34"/>
      <c r="M213" s="34"/>
      <c r="N213" s="34"/>
      <c r="O213" s="33"/>
      <c r="P213" s="29"/>
      <c r="Q213" s="16" t="s">
        <v>118</v>
      </c>
      <c r="R213" s="5"/>
      <c r="S213" s="17"/>
      <c r="T213" s="8" t="e">
        <f>COUNTIF(#REF!,"CN Administraţia Canalelor Navigabile SA Constanta")</f>
        <v>#REF!</v>
      </c>
    </row>
    <row r="214" spans="1:20" s="3" customFormat="1" ht="15" hidden="1" customHeight="1">
      <c r="A214" s="34"/>
      <c r="B214" s="181"/>
      <c r="C214" s="33"/>
      <c r="D214" s="33"/>
      <c r="E214" s="34"/>
      <c r="F214" s="34"/>
      <c r="G214" s="94"/>
      <c r="H214" s="50"/>
      <c r="I214" s="50"/>
      <c r="J214" s="34"/>
      <c r="K214" s="34"/>
      <c r="L214" s="34"/>
      <c r="M214" s="34"/>
      <c r="N214" s="34"/>
      <c r="O214" s="33"/>
      <c r="P214" s="29"/>
      <c r="Q214" s="25" t="s">
        <v>112</v>
      </c>
      <c r="R214" s="5" t="e">
        <f>SUMIF(#REF!,#REF!,J$10:J$149)</f>
        <v>#REF!</v>
      </c>
      <c r="S214" s="17" t="e">
        <f>SUMIF(#REF!,#REF!,M$10:M$149)</f>
        <v>#REF!</v>
      </c>
      <c r="T214" s="8"/>
    </row>
    <row r="215" spans="1:20" s="3" customFormat="1" ht="15" hidden="1" customHeight="1" thickBot="1">
      <c r="A215" s="34"/>
      <c r="B215" s="181"/>
      <c r="C215" s="33"/>
      <c r="D215" s="33"/>
      <c r="E215" s="34"/>
      <c r="F215" s="34"/>
      <c r="G215" s="94"/>
      <c r="H215" s="50"/>
      <c r="I215" s="50"/>
      <c r="J215" s="34"/>
      <c r="K215" s="34"/>
      <c r="L215" s="34"/>
      <c r="M215" s="34"/>
      <c r="N215" s="34"/>
      <c r="O215" s="36"/>
      <c r="P215" s="29"/>
      <c r="Q215" s="25" t="s">
        <v>108</v>
      </c>
      <c r="R215" s="5">
        <f>'[5]Anexa nr 3'!$I$17</f>
        <v>4554710</v>
      </c>
      <c r="S215" s="17">
        <f>'[5]Anexa nr 3'!$M$17</f>
        <v>2865562</v>
      </c>
      <c r="T215" s="8"/>
    </row>
    <row r="216" spans="1:20" s="3" customFormat="1" ht="15" hidden="1" customHeight="1" thickBot="1">
      <c r="A216" s="34"/>
      <c r="B216" s="181"/>
      <c r="C216" s="33"/>
      <c r="D216" s="33"/>
      <c r="E216" s="51">
        <f>E218-E217</f>
        <v>180075080</v>
      </c>
      <c r="F216" s="51">
        <f>F218-F217</f>
        <v>116630903</v>
      </c>
      <c r="G216" s="94"/>
      <c r="H216" s="50"/>
      <c r="I216" s="50"/>
      <c r="J216" s="34"/>
      <c r="K216" s="34"/>
      <c r="L216" s="34"/>
      <c r="M216" s="34"/>
      <c r="N216" s="34"/>
      <c r="O216" s="36"/>
      <c r="P216" s="29"/>
      <c r="Q216" s="25" t="s">
        <v>77</v>
      </c>
      <c r="R216" s="5" t="e">
        <f>R214-R215</f>
        <v>#REF!</v>
      </c>
      <c r="S216" s="5" t="e">
        <f>S214-S215</f>
        <v>#REF!</v>
      </c>
      <c r="T216" s="8"/>
    </row>
    <row r="217" spans="1:20" ht="15" hidden="1" customHeight="1">
      <c r="E217" s="50"/>
      <c r="F217" s="50"/>
      <c r="H217" s="50"/>
      <c r="I217" s="50"/>
      <c r="J217" s="34"/>
      <c r="K217" s="34"/>
      <c r="L217" s="34"/>
      <c r="M217" s="34"/>
      <c r="O217" s="36"/>
      <c r="P217" s="29"/>
      <c r="Q217" s="18" t="s">
        <v>129</v>
      </c>
      <c r="R217" s="7" t="e">
        <f>R214+R209+R203+R198+R193+R187</f>
        <v>#REF!</v>
      </c>
      <c r="S217" s="7" t="e">
        <f>S214+S209+S203+S198+S193+S187</f>
        <v>#REF!</v>
      </c>
      <c r="T217" s="6"/>
    </row>
    <row r="218" spans="1:20" ht="15" hidden="1" customHeight="1">
      <c r="E218" s="101">
        <f>N172</f>
        <v>180075080</v>
      </c>
      <c r="F218" s="101">
        <f>O172</f>
        <v>116630903</v>
      </c>
      <c r="H218" s="50"/>
      <c r="I218" s="50"/>
      <c r="J218" s="34"/>
      <c r="K218" s="34"/>
      <c r="L218" s="34"/>
      <c r="M218" s="34"/>
      <c r="O218" s="36"/>
      <c r="P218" s="29"/>
      <c r="Q218" s="3" t="s">
        <v>119</v>
      </c>
      <c r="R218" s="9">
        <f>N172</f>
        <v>180075080</v>
      </c>
      <c r="S218" s="9">
        <f>O172</f>
        <v>116630903</v>
      </c>
      <c r="T218" s="5"/>
    </row>
    <row r="219" spans="1:20" ht="15" hidden="1" customHeight="1">
      <c r="F219" s="34"/>
      <c r="H219" s="50"/>
      <c r="I219" s="50"/>
      <c r="J219" s="34"/>
      <c r="K219" s="34"/>
      <c r="L219" s="34"/>
      <c r="M219" s="34"/>
      <c r="O219" s="36"/>
      <c r="P219" s="29"/>
      <c r="Q219" s="3"/>
      <c r="R219" s="9" t="e">
        <f>R217-R218</f>
        <v>#REF!</v>
      </c>
      <c r="S219" s="9" t="e">
        <f>S217-S218</f>
        <v>#REF!</v>
      </c>
      <c r="T219" s="3"/>
    </row>
    <row r="220" spans="1:20" ht="15" hidden="1" customHeight="1">
      <c r="F220" s="34"/>
      <c r="H220" s="50"/>
      <c r="I220" s="50"/>
      <c r="J220" s="34"/>
      <c r="K220" s="34"/>
      <c r="L220" s="34"/>
      <c r="M220" s="34"/>
      <c r="O220" s="36"/>
      <c r="P220" s="29"/>
    </row>
    <row r="221" spans="1:20" ht="15" hidden="1" customHeight="1">
      <c r="F221" s="34"/>
      <c r="H221" s="50"/>
      <c r="I221" s="50"/>
      <c r="J221" s="34"/>
      <c r="K221" s="34"/>
      <c r="L221" s="34"/>
      <c r="M221" s="34"/>
      <c r="O221" s="36"/>
      <c r="P221" s="29"/>
    </row>
    <row r="222" spans="1:20" ht="15" hidden="1" customHeight="1">
      <c r="F222" s="34"/>
      <c r="H222" s="50"/>
      <c r="I222" s="50"/>
      <c r="J222" s="34"/>
      <c r="K222" s="34"/>
      <c r="L222" s="34"/>
      <c r="M222" s="34"/>
      <c r="O222" s="36"/>
      <c r="P222" s="29"/>
      <c r="T222" s="3"/>
    </row>
    <row r="223" spans="1:20" ht="15" hidden="1" customHeight="1">
      <c r="F223" s="34"/>
      <c r="H223" s="50"/>
      <c r="I223" s="50"/>
      <c r="J223" s="34"/>
      <c r="K223" s="34"/>
      <c r="L223" s="34"/>
      <c r="M223" s="34"/>
      <c r="O223" s="36"/>
      <c r="P223" s="29"/>
    </row>
    <row r="224" spans="1:20" ht="15" hidden="1" customHeight="1">
      <c r="F224" s="34"/>
      <c r="H224" s="50"/>
      <c r="I224" s="50"/>
      <c r="J224" s="34"/>
      <c r="K224" s="34"/>
      <c r="L224" s="34"/>
      <c r="M224" s="34"/>
      <c r="O224" s="36"/>
      <c r="P224" s="29"/>
    </row>
    <row r="225" spans="6:16" ht="15" hidden="1" customHeight="1">
      <c r="F225" s="34"/>
      <c r="H225" s="50"/>
      <c r="I225" s="50"/>
      <c r="J225" s="34"/>
      <c r="K225" s="34"/>
      <c r="L225" s="34"/>
      <c r="M225" s="34"/>
      <c r="O225" s="36"/>
      <c r="P225" s="29"/>
    </row>
    <row r="226" spans="6:16" ht="15.75" hidden="1" customHeight="1">
      <c r="F226" s="34"/>
      <c r="H226" s="50"/>
      <c r="I226" s="50"/>
      <c r="J226" s="34"/>
      <c r="K226" s="34"/>
      <c r="L226" s="34"/>
      <c r="M226" s="34"/>
      <c r="O226" s="36"/>
      <c r="P226" s="29"/>
    </row>
    <row r="227" spans="6:16" ht="15.75" hidden="1" customHeight="1">
      <c r="F227" s="34"/>
      <c r="H227" s="50"/>
      <c r="I227" s="50"/>
      <c r="J227" s="34"/>
      <c r="K227" s="34"/>
      <c r="L227" s="34"/>
      <c r="M227" s="34"/>
      <c r="O227" s="36"/>
      <c r="P227" s="29"/>
    </row>
    <row r="228" spans="6:16" ht="15.75" hidden="1" customHeight="1">
      <c r="F228" s="34"/>
      <c r="H228" s="50"/>
      <c r="I228" s="50"/>
      <c r="J228" s="34"/>
      <c r="K228" s="34"/>
      <c r="L228" s="34"/>
      <c r="M228" s="34"/>
      <c r="O228" s="36"/>
      <c r="P228" s="29"/>
    </row>
    <row r="229" spans="6:16" ht="15.75" hidden="1" customHeight="1">
      <c r="F229" s="34"/>
      <c r="H229" s="50"/>
      <c r="I229" s="50"/>
      <c r="J229" s="34"/>
      <c r="K229" s="34"/>
      <c r="L229" s="34"/>
      <c r="M229" s="34"/>
      <c r="O229" s="36"/>
      <c r="P229" s="29"/>
    </row>
    <row r="230" spans="6:16" ht="15.75" hidden="1" customHeight="1">
      <c r="F230" s="34"/>
      <c r="H230" s="50"/>
      <c r="I230" s="50"/>
      <c r="J230" s="34"/>
      <c r="K230" s="34"/>
      <c r="L230" s="34"/>
      <c r="M230" s="34"/>
      <c r="O230" s="36"/>
      <c r="P230" s="29"/>
    </row>
    <row r="231" spans="6:16" ht="15.75" hidden="1" customHeight="1">
      <c r="F231" s="34"/>
      <c r="H231" s="50"/>
      <c r="I231" s="50"/>
      <c r="J231" s="34"/>
      <c r="K231" s="34"/>
      <c r="L231" s="34"/>
      <c r="M231" s="34"/>
      <c r="O231" s="36"/>
      <c r="P231" s="29"/>
    </row>
    <row r="232" spans="6:16" ht="15.75" hidden="1" customHeight="1">
      <c r="F232" s="34"/>
      <c r="H232" s="50"/>
      <c r="I232" s="50"/>
      <c r="J232" s="34"/>
      <c r="K232" s="34"/>
      <c r="L232" s="34"/>
      <c r="M232" s="34"/>
      <c r="O232" s="36"/>
      <c r="P232" s="29"/>
    </row>
    <row r="233" spans="6:16" ht="15.75" hidden="1" customHeight="1">
      <c r="F233" s="34"/>
      <c r="H233" s="50"/>
      <c r="I233" s="50"/>
      <c r="J233" s="34"/>
      <c r="K233" s="34"/>
      <c r="L233" s="34"/>
      <c r="M233" s="34"/>
      <c r="O233" s="36"/>
      <c r="P233" s="29"/>
    </row>
    <row r="234" spans="6:16" ht="15.75" hidden="1" customHeight="1">
      <c r="F234" s="34"/>
      <c r="H234" s="50"/>
      <c r="I234" s="50"/>
      <c r="J234" s="34"/>
      <c r="K234" s="34"/>
      <c r="L234" s="34"/>
      <c r="M234" s="34"/>
      <c r="O234" s="36"/>
      <c r="P234" s="29"/>
    </row>
    <row r="235" spans="6:16" ht="15.75" hidden="1" customHeight="1">
      <c r="F235" s="34"/>
      <c r="H235" s="50"/>
      <c r="I235" s="50"/>
      <c r="J235" s="34"/>
      <c r="K235" s="34"/>
      <c r="L235" s="34"/>
      <c r="M235" s="34"/>
      <c r="O235" s="36"/>
      <c r="P235" s="29"/>
    </row>
    <row r="236" spans="6:16" ht="15.75" hidden="1" customHeight="1">
      <c r="F236" s="34"/>
      <c r="H236" s="50"/>
      <c r="I236" s="50"/>
      <c r="J236" s="34"/>
      <c r="K236" s="34"/>
      <c r="L236" s="34"/>
      <c r="M236" s="34"/>
      <c r="O236" s="36"/>
      <c r="P236" s="29"/>
    </row>
    <row r="237" spans="6:16" ht="15.75" hidden="1" customHeight="1">
      <c r="F237" s="34"/>
      <c r="H237" s="50"/>
      <c r="I237" s="50"/>
      <c r="J237" s="34"/>
      <c r="K237" s="34"/>
      <c r="L237" s="34"/>
      <c r="M237" s="34"/>
      <c r="O237" s="36"/>
      <c r="P237" s="29"/>
    </row>
    <row r="238" spans="6:16" ht="15.75" hidden="1" customHeight="1">
      <c r="F238" s="34"/>
      <c r="H238" s="50"/>
      <c r="I238" s="50"/>
      <c r="J238" s="34"/>
      <c r="K238" s="34"/>
      <c r="L238" s="34"/>
      <c r="M238" s="34"/>
      <c r="O238" s="36"/>
      <c r="P238" s="29"/>
    </row>
    <row r="239" spans="6:16" ht="15.75" hidden="1" customHeight="1">
      <c r="F239" s="34"/>
      <c r="H239" s="50"/>
      <c r="I239" s="50"/>
      <c r="J239" s="34"/>
      <c r="K239" s="34"/>
      <c r="L239" s="34"/>
      <c r="M239" s="34"/>
      <c r="O239" s="36"/>
      <c r="P239" s="29"/>
    </row>
    <row r="240" spans="6:16" ht="15.75" hidden="1" customHeight="1">
      <c r="F240" s="34"/>
      <c r="H240" s="50"/>
      <c r="I240" s="50"/>
      <c r="J240" s="34"/>
      <c r="K240" s="34"/>
      <c r="L240" s="34"/>
      <c r="M240" s="34"/>
      <c r="O240" s="36"/>
      <c r="P240" s="29"/>
    </row>
    <row r="241" spans="6:16" ht="15.75" hidden="1" customHeight="1">
      <c r="F241" s="34"/>
      <c r="H241" s="50"/>
      <c r="I241" s="50"/>
      <c r="J241" s="34"/>
      <c r="K241" s="34"/>
      <c r="L241" s="34"/>
      <c r="M241" s="34"/>
      <c r="O241" s="36"/>
      <c r="P241" s="29"/>
    </row>
    <row r="242" spans="6:16" ht="15.75" hidden="1" customHeight="1">
      <c r="F242" s="34"/>
      <c r="H242" s="50"/>
      <c r="I242" s="50"/>
      <c r="J242" s="34"/>
      <c r="K242" s="34"/>
      <c r="L242" s="34"/>
      <c r="M242" s="34"/>
      <c r="O242" s="36"/>
      <c r="P242" s="29"/>
    </row>
    <row r="243" spans="6:16" ht="15.75" hidden="1" customHeight="1">
      <c r="F243" s="34"/>
      <c r="H243" s="50"/>
      <c r="I243" s="50"/>
      <c r="J243" s="34"/>
      <c r="K243" s="34"/>
      <c r="L243" s="34"/>
      <c r="M243" s="34"/>
      <c r="O243" s="36"/>
      <c r="P243" s="29"/>
    </row>
    <row r="244" spans="6:16" ht="15.75" hidden="1" customHeight="1">
      <c r="F244" s="34"/>
      <c r="H244" s="50"/>
      <c r="I244" s="50"/>
      <c r="J244" s="34"/>
      <c r="K244" s="34"/>
      <c r="L244" s="34"/>
      <c r="M244" s="34"/>
      <c r="O244" s="36"/>
      <c r="P244" s="29"/>
    </row>
    <row r="245" spans="6:16" ht="15.75" hidden="1" customHeight="1">
      <c r="F245" s="34"/>
      <c r="H245" s="50"/>
      <c r="I245" s="50"/>
      <c r="J245" s="34"/>
      <c r="K245" s="34"/>
      <c r="L245" s="34"/>
      <c r="M245" s="34"/>
      <c r="O245" s="36"/>
      <c r="P245" s="29"/>
    </row>
    <row r="246" spans="6:16" ht="15.75" hidden="1" customHeight="1">
      <c r="F246" s="34"/>
      <c r="H246" s="50"/>
      <c r="I246" s="50"/>
      <c r="J246" s="34"/>
      <c r="K246" s="34"/>
      <c r="L246" s="34"/>
      <c r="M246" s="34"/>
      <c r="O246" s="36"/>
      <c r="P246" s="29"/>
    </row>
    <row r="247" spans="6:16" ht="15.75" hidden="1" customHeight="1">
      <c r="F247" s="34"/>
      <c r="H247" s="50"/>
      <c r="I247" s="50"/>
      <c r="J247" s="34"/>
      <c r="K247" s="34"/>
      <c r="L247" s="34"/>
      <c r="M247" s="34"/>
      <c r="O247" s="36"/>
      <c r="P247" s="29"/>
    </row>
    <row r="248" spans="6:16" ht="15.75" hidden="1" customHeight="1">
      <c r="F248" s="34"/>
      <c r="H248" s="50"/>
      <c r="I248" s="50"/>
      <c r="J248" s="34"/>
      <c r="K248" s="34"/>
      <c r="L248" s="34"/>
      <c r="M248" s="34"/>
      <c r="O248" s="36"/>
      <c r="P248" s="29"/>
    </row>
    <row r="249" spans="6:16" ht="15.75" hidden="1" customHeight="1">
      <c r="F249" s="34"/>
      <c r="H249" s="50"/>
      <c r="I249" s="50"/>
      <c r="J249" s="34"/>
      <c r="K249" s="34"/>
      <c r="L249" s="34"/>
      <c r="M249" s="34"/>
      <c r="O249" s="36"/>
      <c r="P249" s="29"/>
    </row>
    <row r="250" spans="6:16" ht="15.75" hidden="1" customHeight="1">
      <c r="F250" s="34"/>
      <c r="H250" s="50"/>
      <c r="I250" s="50"/>
      <c r="J250" s="34"/>
      <c r="K250" s="34"/>
      <c r="L250" s="34"/>
      <c r="M250" s="34"/>
      <c r="O250" s="36"/>
      <c r="P250" s="29"/>
    </row>
    <row r="251" spans="6:16" ht="15.75" hidden="1" customHeight="1">
      <c r="F251" s="34"/>
      <c r="H251" s="50"/>
      <c r="I251" s="50"/>
      <c r="J251" s="34"/>
      <c r="K251" s="34"/>
      <c r="L251" s="34"/>
      <c r="M251" s="34"/>
      <c r="O251" s="36"/>
      <c r="P251" s="29"/>
    </row>
    <row r="252" spans="6:16" ht="15.75" hidden="1" customHeight="1">
      <c r="F252" s="34"/>
      <c r="H252" s="50"/>
      <c r="I252" s="50"/>
      <c r="J252" s="34"/>
      <c r="K252" s="34"/>
      <c r="L252" s="34"/>
      <c r="M252" s="34"/>
      <c r="O252" s="36"/>
      <c r="P252" s="29"/>
    </row>
    <row r="253" spans="6:16" ht="15.75" hidden="1" customHeight="1">
      <c r="F253" s="34"/>
      <c r="H253" s="50"/>
      <c r="I253" s="50"/>
      <c r="J253" s="34"/>
      <c r="K253" s="34"/>
      <c r="L253" s="34"/>
      <c r="M253" s="34"/>
      <c r="O253" s="36"/>
      <c r="P253" s="29"/>
    </row>
    <row r="254" spans="6:16" ht="15.75" hidden="1" customHeight="1">
      <c r="F254" s="34"/>
      <c r="H254" s="50"/>
      <c r="I254" s="50"/>
      <c r="J254" s="34"/>
      <c r="K254" s="34"/>
      <c r="L254" s="34"/>
      <c r="M254" s="34"/>
      <c r="O254" s="36"/>
      <c r="P254" s="29"/>
    </row>
    <row r="255" spans="6:16" ht="15.75" hidden="1" customHeight="1">
      <c r="F255" s="34"/>
      <c r="H255" s="50"/>
      <c r="I255" s="50"/>
      <c r="J255" s="34"/>
      <c r="K255" s="34"/>
      <c r="L255" s="34"/>
      <c r="M255" s="34"/>
      <c r="O255" s="36"/>
      <c r="P255" s="29"/>
    </row>
    <row r="256" spans="6:16" ht="15.75" hidden="1" customHeight="1">
      <c r="F256" s="34"/>
      <c r="H256" s="50"/>
      <c r="I256" s="50"/>
      <c r="J256" s="34"/>
      <c r="K256" s="34"/>
      <c r="L256" s="34"/>
      <c r="M256" s="34"/>
      <c r="O256" s="36"/>
      <c r="P256" s="29"/>
    </row>
    <row r="257" spans="6:16" ht="15.75" hidden="1" customHeight="1">
      <c r="F257" s="34"/>
      <c r="H257" s="50"/>
      <c r="I257" s="50"/>
      <c r="J257" s="34"/>
      <c r="K257" s="34"/>
      <c r="L257" s="34"/>
      <c r="M257" s="34"/>
      <c r="O257" s="36"/>
      <c r="P257" s="29"/>
    </row>
    <row r="258" spans="6:16" ht="15.75" hidden="1" customHeight="1">
      <c r="F258" s="34"/>
      <c r="H258" s="50"/>
      <c r="I258" s="50"/>
      <c r="J258" s="34"/>
      <c r="K258" s="34"/>
      <c r="L258" s="34"/>
      <c r="M258" s="34"/>
      <c r="O258" s="36"/>
      <c r="P258" s="29"/>
    </row>
    <row r="259" spans="6:16" ht="15.75" hidden="1" customHeight="1">
      <c r="F259" s="34"/>
      <c r="H259" s="50"/>
      <c r="I259" s="50"/>
      <c r="J259" s="34"/>
      <c r="K259" s="34"/>
      <c r="L259" s="34"/>
      <c r="M259" s="34"/>
      <c r="O259" s="36"/>
      <c r="P259" s="29"/>
    </row>
    <row r="260" spans="6:16" ht="15.75" hidden="1" customHeight="1">
      <c r="F260" s="34"/>
      <c r="H260" s="50"/>
      <c r="I260" s="50"/>
      <c r="J260" s="34"/>
      <c r="K260" s="34"/>
      <c r="L260" s="34"/>
      <c r="M260" s="34"/>
      <c r="O260" s="36"/>
      <c r="P260" s="29"/>
    </row>
    <row r="261" spans="6:16" ht="15.75" hidden="1" customHeight="1">
      <c r="F261" s="34"/>
      <c r="H261" s="50"/>
      <c r="I261" s="50"/>
      <c r="J261" s="34"/>
      <c r="K261" s="34"/>
      <c r="L261" s="34"/>
      <c r="M261" s="34"/>
      <c r="O261" s="36"/>
      <c r="P261" s="29"/>
    </row>
    <row r="262" spans="6:16" ht="15.75" hidden="1" customHeight="1">
      <c r="F262" s="34"/>
      <c r="H262" s="50"/>
      <c r="I262" s="50"/>
      <c r="J262" s="34"/>
      <c r="K262" s="34"/>
      <c r="L262" s="34"/>
      <c r="M262" s="34"/>
      <c r="O262" s="36"/>
      <c r="P262" s="29"/>
    </row>
    <row r="263" spans="6:16" ht="15.75" hidden="1" customHeight="1">
      <c r="F263" s="34"/>
      <c r="H263" s="50"/>
      <c r="I263" s="50"/>
      <c r="J263" s="34"/>
      <c r="K263" s="34"/>
      <c r="L263" s="34"/>
      <c r="M263" s="34"/>
      <c r="O263" s="36"/>
      <c r="P263" s="29"/>
    </row>
    <row r="264" spans="6:16" ht="15.75" hidden="1" customHeight="1">
      <c r="F264" s="34"/>
      <c r="H264" s="50"/>
      <c r="I264" s="50"/>
      <c r="J264" s="34"/>
      <c r="K264" s="34"/>
      <c r="L264" s="34"/>
      <c r="M264" s="34"/>
      <c r="O264" s="36"/>
      <c r="P264" s="29"/>
    </row>
    <row r="265" spans="6:16" ht="15.75" hidden="1" customHeight="1">
      <c r="F265" s="34"/>
      <c r="H265" s="50"/>
      <c r="I265" s="50"/>
      <c r="J265" s="34"/>
      <c r="K265" s="34"/>
      <c r="L265" s="34"/>
      <c r="M265" s="34"/>
      <c r="O265" s="36"/>
      <c r="P265" s="29"/>
    </row>
    <row r="266" spans="6:16" ht="15.75" hidden="1" customHeight="1">
      <c r="F266" s="34"/>
      <c r="H266" s="50"/>
      <c r="I266" s="50"/>
      <c r="J266" s="34"/>
      <c r="K266" s="34"/>
      <c r="L266" s="34"/>
      <c r="M266" s="34"/>
      <c r="O266" s="36"/>
      <c r="P266" s="29"/>
    </row>
    <row r="267" spans="6:16" ht="15.75" hidden="1" customHeight="1">
      <c r="F267" s="34"/>
      <c r="H267" s="50"/>
      <c r="I267" s="50"/>
      <c r="J267" s="34"/>
      <c r="K267" s="34"/>
      <c r="L267" s="34"/>
      <c r="M267" s="34"/>
      <c r="O267" s="36"/>
      <c r="P267" s="29"/>
    </row>
    <row r="268" spans="6:16" ht="15.75" hidden="1" customHeight="1">
      <c r="F268" s="34"/>
      <c r="H268" s="50"/>
      <c r="I268" s="50"/>
      <c r="J268" s="34"/>
      <c r="K268" s="34"/>
      <c r="L268" s="34"/>
      <c r="M268" s="34"/>
      <c r="O268" s="36"/>
      <c r="P268" s="29"/>
    </row>
    <row r="269" spans="6:16" ht="15.75" hidden="1" customHeight="1">
      <c r="F269" s="34"/>
      <c r="H269" s="50"/>
      <c r="I269" s="50"/>
      <c r="J269" s="34"/>
      <c r="K269" s="34"/>
      <c r="L269" s="34"/>
      <c r="M269" s="34"/>
      <c r="O269" s="36"/>
      <c r="P269" s="29"/>
    </row>
    <row r="270" spans="6:16" ht="15.75" hidden="1" customHeight="1">
      <c r="F270" s="34"/>
      <c r="H270" s="50"/>
      <c r="I270" s="50"/>
      <c r="J270" s="34"/>
      <c r="K270" s="34"/>
      <c r="L270" s="34"/>
      <c r="M270" s="34"/>
      <c r="O270" s="36"/>
      <c r="P270" s="29"/>
    </row>
    <row r="271" spans="6:16" ht="15.75" hidden="1" customHeight="1">
      <c r="F271" s="34"/>
      <c r="H271" s="50"/>
      <c r="I271" s="50"/>
      <c r="J271" s="34"/>
      <c r="K271" s="34"/>
      <c r="L271" s="34"/>
      <c r="M271" s="34"/>
      <c r="O271" s="36"/>
      <c r="P271" s="29"/>
    </row>
    <row r="272" spans="6:16" ht="15.75" hidden="1" customHeight="1">
      <c r="F272" s="34"/>
      <c r="H272" s="50"/>
      <c r="I272" s="50"/>
      <c r="J272" s="34"/>
      <c r="K272" s="34"/>
      <c r="L272" s="34"/>
      <c r="M272" s="34"/>
      <c r="O272" s="36"/>
      <c r="P272" s="29"/>
    </row>
    <row r="273" spans="1:24" ht="15.75" hidden="1" customHeight="1">
      <c r="F273" s="34"/>
      <c r="H273" s="50"/>
      <c r="I273" s="50"/>
      <c r="J273" s="34"/>
      <c r="K273" s="34"/>
      <c r="L273" s="34"/>
      <c r="M273" s="34"/>
      <c r="O273" s="36"/>
      <c r="P273" s="29"/>
    </row>
    <row r="274" spans="1:24" ht="15.75" hidden="1" customHeight="1">
      <c r="F274" s="34"/>
      <c r="H274" s="50"/>
      <c r="I274" s="50"/>
      <c r="J274" s="34"/>
      <c r="K274" s="34"/>
      <c r="L274" s="34"/>
      <c r="M274" s="34"/>
      <c r="O274" s="36"/>
      <c r="P274" s="29"/>
    </row>
    <row r="275" spans="1:24" ht="15.75" hidden="1" customHeight="1">
      <c r="F275" s="34"/>
      <c r="H275" s="50"/>
      <c r="I275" s="50"/>
      <c r="J275" s="34"/>
      <c r="K275" s="34"/>
      <c r="L275" s="34"/>
      <c r="M275" s="34"/>
      <c r="O275" s="36"/>
      <c r="P275" s="29"/>
    </row>
    <row r="276" spans="1:24" ht="15.75" hidden="1" customHeight="1">
      <c r="F276" s="34"/>
      <c r="H276" s="50"/>
      <c r="I276" s="50"/>
      <c r="J276" s="34"/>
      <c r="K276" s="34"/>
      <c r="L276" s="34"/>
      <c r="M276" s="34"/>
      <c r="O276" s="36"/>
      <c r="P276" s="29"/>
    </row>
    <row r="277" spans="1:24" ht="15.75" hidden="1" customHeight="1">
      <c r="F277" s="34"/>
      <c r="H277" s="50"/>
      <c r="I277" s="50"/>
      <c r="J277" s="34"/>
      <c r="K277" s="34"/>
      <c r="L277" s="34"/>
      <c r="M277" s="34"/>
      <c r="O277" s="36"/>
      <c r="P277" s="29"/>
    </row>
    <row r="278" spans="1:24" ht="15.75" hidden="1" customHeight="1">
      <c r="F278" s="34"/>
      <c r="H278" s="50"/>
      <c r="I278" s="50"/>
      <c r="J278" s="34"/>
      <c r="K278" s="34"/>
      <c r="L278" s="34"/>
      <c r="M278" s="34"/>
      <c r="O278" s="36"/>
      <c r="P278" s="29"/>
    </row>
    <row r="279" spans="1:24" ht="15.75" hidden="1" customHeight="1">
      <c r="F279" s="34"/>
      <c r="H279" s="50"/>
      <c r="I279" s="50"/>
      <c r="J279" s="34"/>
      <c r="K279" s="34"/>
      <c r="L279" s="34"/>
      <c r="M279" s="34"/>
      <c r="O279" s="36"/>
      <c r="P279" s="29"/>
    </row>
    <row r="280" spans="1:24" ht="15.75" hidden="1" customHeight="1">
      <c r="F280" s="34"/>
      <c r="H280" s="50"/>
      <c r="I280" s="50"/>
      <c r="J280" s="34"/>
      <c r="K280" s="34"/>
      <c r="L280" s="34"/>
      <c r="M280" s="34"/>
      <c r="O280" s="36"/>
      <c r="P280" s="29"/>
    </row>
    <row r="281" spans="1:24" ht="15.75" hidden="1" customHeight="1">
      <c r="F281" s="34"/>
      <c r="H281" s="50"/>
      <c r="I281" s="50"/>
      <c r="J281" s="34"/>
      <c r="K281" s="34"/>
      <c r="L281" s="34"/>
      <c r="M281" s="34"/>
      <c r="O281" s="36"/>
      <c r="P281" s="29"/>
    </row>
    <row r="282" spans="1:24" ht="210.75" hidden="1" customHeight="1">
      <c r="F282" s="34"/>
      <c r="H282" s="50"/>
      <c r="I282" s="50"/>
      <c r="J282" s="34"/>
      <c r="K282" s="34"/>
      <c r="L282" s="34"/>
      <c r="M282" s="34"/>
      <c r="O282" s="36"/>
      <c r="P282" s="29"/>
    </row>
    <row r="283" spans="1:24" ht="210.75" hidden="1" customHeight="1">
      <c r="F283" s="34"/>
      <c r="H283" s="50"/>
      <c r="I283" s="50"/>
      <c r="J283" s="34"/>
      <c r="K283" s="34"/>
      <c r="L283" s="34"/>
      <c r="M283" s="34"/>
      <c r="O283" s="36"/>
    </row>
    <row r="284" spans="1:24" ht="34.5" customHeight="1">
      <c r="F284" s="34"/>
      <c r="H284" s="50"/>
      <c r="I284" s="50"/>
      <c r="J284" s="34"/>
      <c r="K284" s="34"/>
      <c r="L284" s="34"/>
      <c r="M284" s="34"/>
      <c r="O284" s="36"/>
    </row>
    <row r="285" spans="1:24" ht="47.25" customHeight="1">
      <c r="F285" s="34"/>
      <c r="H285" s="50"/>
      <c r="I285" s="50"/>
      <c r="J285" s="34"/>
      <c r="K285" s="34"/>
      <c r="L285" s="34"/>
      <c r="M285" s="34"/>
      <c r="O285" s="36"/>
    </row>
    <row r="286" spans="1:24" ht="42.75" customHeight="1">
      <c r="F286" s="34"/>
      <c r="H286" s="50"/>
      <c r="I286" s="50"/>
      <c r="J286" s="34"/>
      <c r="K286" s="34"/>
      <c r="L286" s="34"/>
      <c r="M286" s="34"/>
      <c r="O286" s="36"/>
    </row>
    <row r="287" spans="1:24" s="182" customFormat="1" ht="67.5" customHeight="1">
      <c r="A287" s="34"/>
      <c r="B287" s="181"/>
      <c r="C287" s="33"/>
      <c r="D287" s="33"/>
      <c r="E287" s="34"/>
      <c r="F287" s="34"/>
      <c r="G287" s="94"/>
      <c r="H287" s="50"/>
      <c r="I287" s="50"/>
      <c r="J287" s="34"/>
      <c r="K287" s="34"/>
      <c r="L287" s="34"/>
      <c r="M287" s="34"/>
      <c r="N287" s="34"/>
      <c r="O287" s="36"/>
      <c r="Q287" s="2"/>
      <c r="R287" s="2"/>
      <c r="S287" s="2"/>
      <c r="T287" s="2"/>
      <c r="U287" s="2"/>
      <c r="V287" s="2"/>
      <c r="W287" s="2"/>
      <c r="X287" s="2"/>
    </row>
    <row r="288" spans="1:24" s="182" customFormat="1" ht="60" customHeight="1">
      <c r="A288" s="34"/>
      <c r="B288" s="181"/>
      <c r="C288" s="33"/>
      <c r="D288" s="33"/>
      <c r="E288" s="34"/>
      <c r="F288" s="35"/>
      <c r="G288" s="94"/>
      <c r="H288" s="104"/>
      <c r="I288" s="104"/>
      <c r="J288" s="34"/>
      <c r="K288" s="34"/>
      <c r="L288" s="34"/>
      <c r="M288" s="34"/>
      <c r="N288" s="34"/>
      <c r="O288" s="36"/>
      <c r="Q288" s="2"/>
      <c r="R288" s="2"/>
      <c r="S288" s="2"/>
      <c r="T288" s="2"/>
      <c r="U288" s="2"/>
      <c r="V288" s="2"/>
      <c r="W288" s="2"/>
      <c r="X288" s="2"/>
    </row>
    <row r="289" spans="1:24" s="182" customFormat="1" ht="30" customHeight="1">
      <c r="A289" s="34"/>
      <c r="B289" s="181"/>
      <c r="C289" s="33"/>
      <c r="D289" s="33"/>
      <c r="E289" s="34"/>
      <c r="F289" s="35"/>
      <c r="G289" s="94"/>
      <c r="H289" s="104"/>
      <c r="I289" s="104"/>
      <c r="J289" s="34"/>
      <c r="K289" s="34"/>
      <c r="L289" s="34"/>
      <c r="M289" s="34"/>
      <c r="N289" s="34"/>
      <c r="O289" s="36"/>
      <c r="Q289" s="2"/>
      <c r="R289" s="2"/>
      <c r="S289" s="2"/>
      <c r="T289" s="2"/>
      <c r="U289" s="2"/>
      <c r="V289" s="2"/>
      <c r="W289" s="2"/>
      <c r="X289" s="2"/>
    </row>
    <row r="290" spans="1:24" s="182" customFormat="1" ht="78" customHeight="1">
      <c r="A290" s="34"/>
      <c r="B290" s="181"/>
      <c r="C290" s="33"/>
      <c r="D290" s="33"/>
      <c r="E290" s="34"/>
      <c r="F290" s="35"/>
      <c r="G290" s="94"/>
      <c r="H290" s="104"/>
      <c r="I290" s="104"/>
      <c r="J290" s="34"/>
      <c r="K290" s="34"/>
      <c r="L290" s="34"/>
      <c r="M290" s="103"/>
      <c r="N290" s="34"/>
      <c r="O290" s="105"/>
      <c r="Q290" s="2"/>
      <c r="R290" s="2"/>
      <c r="S290" s="2"/>
      <c r="T290" s="2"/>
      <c r="U290" s="2"/>
      <c r="V290" s="2"/>
      <c r="W290" s="2"/>
      <c r="X290" s="2"/>
    </row>
    <row r="291" spans="1:24" s="182" customFormat="1" ht="115.5" customHeight="1">
      <c r="A291" s="34"/>
      <c r="B291" s="181"/>
      <c r="C291" s="33"/>
      <c r="D291" s="33"/>
      <c r="E291" s="34"/>
      <c r="F291" s="35"/>
      <c r="G291" s="94"/>
      <c r="H291" s="104"/>
      <c r="I291" s="104"/>
      <c r="J291" s="141"/>
      <c r="K291" s="141"/>
      <c r="L291" s="141"/>
      <c r="M291" s="103"/>
      <c r="N291" s="34"/>
      <c r="O291" s="105"/>
      <c r="Q291" s="2"/>
      <c r="R291" s="2"/>
      <c r="S291" s="2"/>
      <c r="T291" s="2"/>
      <c r="U291" s="2"/>
      <c r="V291" s="2"/>
      <c r="W291" s="2"/>
      <c r="X291" s="2"/>
    </row>
    <row r="423" spans="2:24" s="34" customFormat="1">
      <c r="B423" s="181"/>
      <c r="C423" s="33"/>
      <c r="D423" s="33"/>
      <c r="F423" s="35"/>
      <c r="G423" s="94"/>
      <c r="H423" s="104"/>
      <c r="I423" s="104"/>
      <c r="J423" s="141"/>
      <c r="K423" s="141"/>
      <c r="L423" s="141"/>
      <c r="M423" s="103">
        <f>SUM(M10:M149)</f>
        <v>134644869</v>
      </c>
      <c r="O423" s="105"/>
      <c r="P423" s="182"/>
      <c r="Q423" s="2"/>
      <c r="R423" s="2"/>
      <c r="S423" s="2"/>
      <c r="T423" s="2"/>
      <c r="U423" s="2"/>
      <c r="V423" s="2"/>
      <c r="W423" s="2"/>
      <c r="X423" s="2"/>
    </row>
    <row r="424" spans="2:24" s="34" customFormat="1">
      <c r="B424" s="181"/>
      <c r="C424" s="33"/>
      <c r="D424" s="33"/>
      <c r="F424" s="35"/>
      <c r="G424" s="94"/>
      <c r="H424" s="104"/>
      <c r="I424" s="104"/>
      <c r="J424" s="141">
        <f>SUM(J10:J149)</f>
        <v>203615331</v>
      </c>
      <c r="K424" s="141"/>
      <c r="L424" s="141"/>
      <c r="M424" s="103">
        <f>M150-M423</f>
        <v>0</v>
      </c>
      <c r="O424" s="105"/>
      <c r="P424" s="182"/>
      <c r="Q424" s="2"/>
      <c r="R424" s="2"/>
      <c r="S424" s="2"/>
      <c r="T424" s="2"/>
      <c r="U424" s="2"/>
      <c r="V424" s="2"/>
      <c r="W424" s="2"/>
      <c r="X424" s="2"/>
    </row>
    <row r="425" spans="2:24" s="34" customFormat="1">
      <c r="B425" s="181"/>
      <c r="C425" s="33"/>
      <c r="D425" s="33"/>
      <c r="F425" s="35"/>
      <c r="G425" s="94"/>
      <c r="H425" s="104"/>
      <c r="I425" s="104"/>
      <c r="J425" s="141">
        <f>J150-J424</f>
        <v>0</v>
      </c>
      <c r="K425" s="141"/>
      <c r="L425" s="141"/>
      <c r="M425" s="103"/>
      <c r="O425" s="105"/>
      <c r="P425" s="182"/>
      <c r="Q425" s="2"/>
      <c r="R425" s="2"/>
      <c r="S425" s="2"/>
      <c r="T425" s="2"/>
      <c r="U425" s="2"/>
      <c r="V425" s="2"/>
      <c r="W425" s="2"/>
      <c r="X425" s="2"/>
    </row>
    <row r="430" spans="2:24" s="34" customFormat="1" ht="12.75" customHeight="1">
      <c r="B430" s="181"/>
      <c r="C430" s="33"/>
      <c r="D430" s="33"/>
      <c r="F430" s="35"/>
      <c r="G430" s="94"/>
      <c r="H430" s="104"/>
      <c r="I430" s="104"/>
      <c r="J430" s="141"/>
      <c r="K430" s="141"/>
      <c r="L430" s="141"/>
      <c r="M430" s="103"/>
      <c r="O430" s="105"/>
      <c r="P430" s="182"/>
      <c r="Q430" s="2"/>
      <c r="R430" s="2"/>
      <c r="S430" s="2"/>
      <c r="T430" s="2"/>
      <c r="U430" s="2"/>
      <c r="V430" s="2"/>
      <c r="W430" s="2"/>
      <c r="X430" s="2"/>
    </row>
  </sheetData>
  <sheetProtection selectLockedCells="1" selectUnlockedCells="1"/>
  <autoFilter ref="A9:X150"/>
  <mergeCells count="23">
    <mergeCell ref="A150:B150"/>
    <mergeCell ref="P182:Q182"/>
    <mergeCell ref="R182:S182"/>
    <mergeCell ref="Q185:S185"/>
    <mergeCell ref="I7:I8"/>
    <mergeCell ref="J7:J8"/>
    <mergeCell ref="K7:K8"/>
    <mergeCell ref="L7:L8"/>
    <mergeCell ref="M7:M8"/>
    <mergeCell ref="N7:N8"/>
    <mergeCell ref="B154:S154"/>
    <mergeCell ref="C159:T159"/>
    <mergeCell ref="A3:P3"/>
    <mergeCell ref="A4:P4"/>
    <mergeCell ref="A7:A8"/>
    <mergeCell ref="B7:B8"/>
    <mergeCell ref="C7:C8"/>
    <mergeCell ref="D7:D8"/>
    <mergeCell ref="E7:E8"/>
    <mergeCell ref="F7:F8"/>
    <mergeCell ref="G7:G8"/>
    <mergeCell ref="H7:H8"/>
    <mergeCell ref="O7:P7"/>
  </mergeCells>
  <printOptions horizontalCentered="1"/>
  <pageMargins left="0.23622047244094491" right="0.23622047244094491" top="0.74803149606299213" bottom="0.74803149606299213" header="0.31496062992125984" footer="0.31496062992125984"/>
  <pageSetup paperSize="9" scale="34" fitToHeight="0" orientation="landscape" useFirstPageNumber="1"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4"/>
  <sheetViews>
    <sheetView view="pageBreakPreview" zoomScale="60" zoomScaleNormal="60" zoomScalePageLayoutView="85" workbookViewId="0">
      <pane ySplit="9" topLeftCell="A55" activePane="bottomLeft" state="frozen"/>
      <selection pane="bottomLeft" activeCell="G33" sqref="G33"/>
    </sheetView>
  </sheetViews>
  <sheetFormatPr defaultRowHeight="15.75"/>
  <cols>
    <col min="1" max="1" width="6.5703125" style="34" customWidth="1"/>
    <col min="2" max="2" width="57.7109375" style="181" customWidth="1"/>
    <col min="3" max="3" width="15.42578125" style="33" customWidth="1"/>
    <col min="4" max="4" width="22.7109375" style="33" customWidth="1"/>
    <col min="5" max="5" width="16.42578125" style="34" customWidth="1"/>
    <col min="6" max="6" width="15.85546875" style="35" customWidth="1"/>
    <col min="7" max="7" width="20.28515625" style="94" customWidth="1"/>
    <col min="8" max="8" width="15.85546875" style="104" customWidth="1"/>
    <col min="9" max="9" width="18" style="104" customWidth="1"/>
    <col min="10" max="12" width="19" style="141" customWidth="1"/>
    <col min="13" max="13" width="18.140625" style="103" customWidth="1"/>
    <col min="14" max="14" width="34.140625" style="34" customWidth="1"/>
    <col min="15" max="15" width="20.28515625" style="105" customWidth="1"/>
    <col min="16" max="16" width="96.140625" style="182" customWidth="1"/>
    <col min="17" max="17" width="12.85546875" style="2" customWidth="1"/>
    <col min="18" max="18" width="16" style="2" customWidth="1"/>
    <col min="19" max="19" width="14.28515625" style="2" customWidth="1"/>
    <col min="20" max="20" width="13.85546875" style="2" customWidth="1"/>
    <col min="21" max="21" width="16" style="2" customWidth="1"/>
    <col min="22" max="16384" width="9.140625" style="2"/>
  </cols>
  <sheetData>
    <row r="1" spans="1:17">
      <c r="A1" s="2"/>
      <c r="B1" s="2"/>
      <c r="P1" s="173" t="s">
        <v>460</v>
      </c>
      <c r="Q1" s="139"/>
    </row>
    <row r="2" spans="1:17">
      <c r="A2" s="37"/>
      <c r="B2" s="37"/>
    </row>
    <row r="3" spans="1:17" ht="19.5">
      <c r="A3" s="390" t="s">
        <v>255</v>
      </c>
      <c r="B3" s="390"/>
      <c r="C3" s="391"/>
      <c r="D3" s="390"/>
      <c r="E3" s="390"/>
      <c r="F3" s="390"/>
      <c r="G3" s="390"/>
      <c r="H3" s="392"/>
      <c r="I3" s="390"/>
      <c r="J3" s="392"/>
      <c r="K3" s="390"/>
      <c r="L3" s="390"/>
      <c r="M3" s="390"/>
      <c r="N3" s="390"/>
      <c r="O3" s="390"/>
      <c r="P3" s="393"/>
    </row>
    <row r="4" spans="1:17" ht="19.5">
      <c r="A4" s="390" t="s">
        <v>256</v>
      </c>
      <c r="B4" s="390"/>
      <c r="C4" s="391"/>
      <c r="D4" s="390"/>
      <c r="E4" s="390"/>
      <c r="F4" s="390"/>
      <c r="G4" s="390"/>
      <c r="H4" s="392"/>
      <c r="I4" s="390"/>
      <c r="J4" s="392"/>
      <c r="K4" s="390"/>
      <c r="L4" s="390"/>
      <c r="M4" s="390"/>
      <c r="N4" s="390"/>
      <c r="O4" s="390"/>
      <c r="P4" s="393"/>
    </row>
    <row r="5" spans="1:17">
      <c r="A5" s="37"/>
      <c r="B5" s="37"/>
    </row>
    <row r="6" spans="1:17" ht="16.5" thickBot="1">
      <c r="A6" s="37"/>
      <c r="B6" s="37"/>
      <c r="F6" s="155"/>
      <c r="L6" s="163"/>
      <c r="P6" s="161"/>
    </row>
    <row r="7" spans="1:17" s="12" customFormat="1" ht="44.25" customHeight="1">
      <c r="A7" s="394" t="s">
        <v>0</v>
      </c>
      <c r="B7" s="396" t="s">
        <v>1</v>
      </c>
      <c r="C7" s="398" t="s">
        <v>2</v>
      </c>
      <c r="D7" s="400" t="s">
        <v>206</v>
      </c>
      <c r="E7" s="398" t="s">
        <v>3</v>
      </c>
      <c r="F7" s="402" t="s">
        <v>4</v>
      </c>
      <c r="G7" s="404" t="s">
        <v>5</v>
      </c>
      <c r="H7" s="406" t="s">
        <v>251</v>
      </c>
      <c r="I7" s="406" t="s">
        <v>252</v>
      </c>
      <c r="J7" s="418" t="s">
        <v>93</v>
      </c>
      <c r="K7" s="420" t="s">
        <v>326</v>
      </c>
      <c r="L7" s="420" t="s">
        <v>327</v>
      </c>
      <c r="M7" s="418" t="s">
        <v>300</v>
      </c>
      <c r="N7" s="398" t="s">
        <v>253</v>
      </c>
      <c r="O7" s="408" t="s">
        <v>94</v>
      </c>
      <c r="P7" s="409"/>
    </row>
    <row r="8" spans="1:17" s="13" customFormat="1" ht="78" customHeight="1">
      <c r="A8" s="395"/>
      <c r="B8" s="397"/>
      <c r="C8" s="399"/>
      <c r="D8" s="401"/>
      <c r="E8" s="399"/>
      <c r="F8" s="403"/>
      <c r="G8" s="405"/>
      <c r="H8" s="407"/>
      <c r="I8" s="407"/>
      <c r="J8" s="419"/>
      <c r="K8" s="421"/>
      <c r="L8" s="421"/>
      <c r="M8" s="419"/>
      <c r="N8" s="399"/>
      <c r="O8" s="38" t="s">
        <v>6</v>
      </c>
      <c r="P8" s="172" t="s">
        <v>130</v>
      </c>
    </row>
    <row r="9" spans="1:17" s="14" customFormat="1">
      <c r="A9" s="39">
        <v>0</v>
      </c>
      <c r="B9" s="40">
        <v>1</v>
      </c>
      <c r="C9" s="41">
        <v>2</v>
      </c>
      <c r="D9" s="41">
        <v>3</v>
      </c>
      <c r="E9" s="41">
        <v>4</v>
      </c>
      <c r="F9" s="42">
        <v>5</v>
      </c>
      <c r="G9" s="42">
        <v>6</v>
      </c>
      <c r="H9" s="42">
        <v>7</v>
      </c>
      <c r="I9" s="42">
        <v>8</v>
      </c>
      <c r="J9" s="42">
        <v>9</v>
      </c>
      <c r="K9" s="42">
        <v>10</v>
      </c>
      <c r="L9" s="42">
        <v>11</v>
      </c>
      <c r="M9" s="102">
        <v>12</v>
      </c>
      <c r="N9" s="42">
        <v>13</v>
      </c>
      <c r="O9" s="106">
        <v>14</v>
      </c>
      <c r="P9" s="171">
        <v>15</v>
      </c>
    </row>
    <row r="10" spans="1:17" s="194" customFormat="1" ht="77.25" customHeight="1">
      <c r="A10" s="183">
        <v>1</v>
      </c>
      <c r="B10" s="198" t="s">
        <v>139</v>
      </c>
      <c r="C10" s="186" t="s">
        <v>269</v>
      </c>
      <c r="D10" s="200" t="s">
        <v>168</v>
      </c>
      <c r="E10" s="199" t="s">
        <v>8</v>
      </c>
      <c r="F10" s="205">
        <v>1295</v>
      </c>
      <c r="G10" s="201">
        <v>100</v>
      </c>
      <c r="H10" s="206">
        <v>1</v>
      </c>
      <c r="I10" s="207">
        <v>0.78600000000000003</v>
      </c>
      <c r="J10" s="190">
        <v>227628</v>
      </c>
      <c r="K10" s="190">
        <v>178921</v>
      </c>
      <c r="L10" s="190">
        <v>1120</v>
      </c>
      <c r="M10" s="191">
        <f t="shared" ref="M10:M16" si="0">J10-K10-L10</f>
        <v>47587</v>
      </c>
      <c r="N10" s="200" t="s">
        <v>231</v>
      </c>
      <c r="O10" s="208">
        <v>343613420</v>
      </c>
      <c r="P10" s="209" t="s">
        <v>394</v>
      </c>
    </row>
    <row r="11" spans="1:17" s="194" customFormat="1" ht="77.25" customHeight="1">
      <c r="A11" s="183">
        <v>2</v>
      </c>
      <c r="B11" s="222" t="s">
        <v>132</v>
      </c>
      <c r="C11" s="186" t="s">
        <v>269</v>
      </c>
      <c r="D11" s="200" t="s">
        <v>166</v>
      </c>
      <c r="E11" s="212" t="s">
        <v>8</v>
      </c>
      <c r="F11" s="213">
        <v>1256</v>
      </c>
      <c r="G11" s="220">
        <v>98</v>
      </c>
      <c r="H11" s="207">
        <v>1</v>
      </c>
      <c r="I11" s="207">
        <v>0.59299999999999997</v>
      </c>
      <c r="J11" s="190">
        <v>198327</v>
      </c>
      <c r="K11" s="190">
        <v>117606</v>
      </c>
      <c r="L11" s="190">
        <v>20811</v>
      </c>
      <c r="M11" s="191">
        <f t="shared" si="0"/>
        <v>59910</v>
      </c>
      <c r="N11" s="205" t="s">
        <v>360</v>
      </c>
      <c r="O11" s="208">
        <f>164689083</f>
        <v>164689083</v>
      </c>
      <c r="P11" s="209"/>
    </row>
    <row r="12" spans="1:17" s="194" customFormat="1" ht="77.25" customHeight="1">
      <c r="A12" s="183">
        <v>3</v>
      </c>
      <c r="B12" s="198" t="s">
        <v>143</v>
      </c>
      <c r="C12" s="186" t="s">
        <v>269</v>
      </c>
      <c r="D12" s="199" t="s">
        <v>166</v>
      </c>
      <c r="E12" s="199" t="s">
        <v>8</v>
      </c>
      <c r="F12" s="205">
        <v>977</v>
      </c>
      <c r="G12" s="188">
        <v>98</v>
      </c>
      <c r="H12" s="206">
        <v>1</v>
      </c>
      <c r="I12" s="189">
        <v>0.43630000000000002</v>
      </c>
      <c r="J12" s="191">
        <v>151647</v>
      </c>
      <c r="K12" s="191">
        <v>66171</v>
      </c>
      <c r="L12" s="191">
        <v>21290</v>
      </c>
      <c r="M12" s="191">
        <f t="shared" si="0"/>
        <v>64186</v>
      </c>
      <c r="N12" s="185" t="s">
        <v>355</v>
      </c>
      <c r="O12" s="208">
        <v>38320000</v>
      </c>
      <c r="P12" s="204" t="s">
        <v>208</v>
      </c>
    </row>
    <row r="13" spans="1:17" s="194" customFormat="1" ht="77.25" customHeight="1">
      <c r="A13" s="183">
        <v>4</v>
      </c>
      <c r="B13" s="222" t="s">
        <v>40</v>
      </c>
      <c r="C13" s="186" t="s">
        <v>269</v>
      </c>
      <c r="D13" s="200" t="s">
        <v>166</v>
      </c>
      <c r="E13" s="212" t="s">
        <v>8</v>
      </c>
      <c r="F13" s="213">
        <v>818</v>
      </c>
      <c r="G13" s="201">
        <v>98</v>
      </c>
      <c r="H13" s="189">
        <v>1</v>
      </c>
      <c r="I13" s="189">
        <v>0.56089999999999995</v>
      </c>
      <c r="J13" s="190">
        <v>157648</v>
      </c>
      <c r="K13" s="190">
        <v>88418</v>
      </c>
      <c r="L13" s="190">
        <v>0</v>
      </c>
      <c r="M13" s="191">
        <f t="shared" si="0"/>
        <v>69230</v>
      </c>
      <c r="N13" s="227" t="s">
        <v>418</v>
      </c>
      <c r="O13" s="192">
        <v>21548000</v>
      </c>
      <c r="P13" s="204" t="s">
        <v>208</v>
      </c>
    </row>
    <row r="14" spans="1:17" s="194" customFormat="1" ht="125.25" customHeight="1">
      <c r="A14" s="183">
        <v>5</v>
      </c>
      <c r="B14" s="184" t="s">
        <v>195</v>
      </c>
      <c r="C14" s="186" t="s">
        <v>269</v>
      </c>
      <c r="D14" s="185" t="s">
        <v>167</v>
      </c>
      <c r="E14" s="186" t="s">
        <v>8</v>
      </c>
      <c r="F14" s="195">
        <v>1277</v>
      </c>
      <c r="G14" s="188">
        <v>96.5</v>
      </c>
      <c r="H14" s="189">
        <v>1</v>
      </c>
      <c r="I14" s="189">
        <v>0.91259999999999997</v>
      </c>
      <c r="J14" s="190">
        <v>583802</v>
      </c>
      <c r="K14" s="190">
        <v>532790</v>
      </c>
      <c r="L14" s="190">
        <v>0</v>
      </c>
      <c r="M14" s="191">
        <f t="shared" si="0"/>
        <v>51012</v>
      </c>
      <c r="N14" s="185" t="s">
        <v>176</v>
      </c>
      <c r="O14" s="244">
        <v>38858222</v>
      </c>
      <c r="P14" s="224" t="s">
        <v>373</v>
      </c>
    </row>
    <row r="15" spans="1:17" s="194" customFormat="1" ht="77.25" customHeight="1">
      <c r="A15" s="183">
        <v>6</v>
      </c>
      <c r="B15" s="198" t="s">
        <v>153</v>
      </c>
      <c r="C15" s="186" t="s">
        <v>269</v>
      </c>
      <c r="D15" s="200" t="s">
        <v>168</v>
      </c>
      <c r="E15" s="199" t="s">
        <v>8</v>
      </c>
      <c r="F15" s="205">
        <v>975</v>
      </c>
      <c r="G15" s="188">
        <v>93.5</v>
      </c>
      <c r="H15" s="207">
        <v>1</v>
      </c>
      <c r="I15" s="189">
        <v>0.96740000000000004</v>
      </c>
      <c r="J15" s="191">
        <v>221506</v>
      </c>
      <c r="K15" s="191">
        <v>218985</v>
      </c>
      <c r="L15" s="191">
        <v>1670</v>
      </c>
      <c r="M15" s="191">
        <f t="shared" si="0"/>
        <v>851</v>
      </c>
      <c r="N15" s="200" t="s">
        <v>176</v>
      </c>
      <c r="O15" s="192">
        <v>163300000</v>
      </c>
      <c r="P15" s="209" t="s">
        <v>308</v>
      </c>
    </row>
    <row r="16" spans="1:17" s="194" customFormat="1" ht="97.5" customHeight="1">
      <c r="A16" s="183">
        <v>7</v>
      </c>
      <c r="B16" s="222" t="s">
        <v>23</v>
      </c>
      <c r="C16" s="186" t="s">
        <v>269</v>
      </c>
      <c r="D16" s="200" t="s">
        <v>166</v>
      </c>
      <c r="E16" s="256" t="s">
        <v>8</v>
      </c>
      <c r="F16" s="213">
        <v>393</v>
      </c>
      <c r="G16" s="201">
        <v>91.5</v>
      </c>
      <c r="H16" s="202">
        <v>1</v>
      </c>
      <c r="I16" s="189">
        <v>0.60880000000000001</v>
      </c>
      <c r="J16" s="191">
        <v>433376</v>
      </c>
      <c r="K16" s="191">
        <v>263835</v>
      </c>
      <c r="L16" s="191">
        <v>0</v>
      </c>
      <c r="M16" s="191">
        <f t="shared" si="0"/>
        <v>169541</v>
      </c>
      <c r="N16" s="199" t="s">
        <v>416</v>
      </c>
      <c r="O16" s="208">
        <v>226396642</v>
      </c>
      <c r="P16" s="257" t="s">
        <v>316</v>
      </c>
    </row>
    <row r="17" spans="1:16" s="194" customFormat="1" ht="77.25" customHeight="1">
      <c r="A17" s="183">
        <v>8</v>
      </c>
      <c r="B17" s="211" t="s">
        <v>183</v>
      </c>
      <c r="C17" s="185" t="s">
        <v>232</v>
      </c>
      <c r="D17" s="200" t="s">
        <v>191</v>
      </c>
      <c r="E17" s="199" t="s">
        <v>8</v>
      </c>
      <c r="F17" s="272">
        <v>283</v>
      </c>
      <c r="G17" s="188">
        <v>88</v>
      </c>
      <c r="H17" s="206">
        <v>1</v>
      </c>
      <c r="I17" s="189">
        <v>0.99</v>
      </c>
      <c r="J17" s="191">
        <v>233538</v>
      </c>
      <c r="K17" s="191">
        <v>131575</v>
      </c>
      <c r="L17" s="191">
        <v>380</v>
      </c>
      <c r="M17" s="191">
        <f t="shared" ref="M17:M32" si="1">J17-K17-L17</f>
        <v>101583</v>
      </c>
      <c r="N17" s="200" t="s">
        <v>298</v>
      </c>
      <c r="O17" s="208">
        <v>30300420</v>
      </c>
      <c r="P17" s="209" t="s">
        <v>389</v>
      </c>
    </row>
    <row r="18" spans="1:16" s="194" customFormat="1" ht="77.25" customHeight="1">
      <c r="A18" s="183">
        <v>9</v>
      </c>
      <c r="B18" s="198" t="s">
        <v>234</v>
      </c>
      <c r="C18" s="186" t="s">
        <v>269</v>
      </c>
      <c r="D18" s="200" t="s">
        <v>166</v>
      </c>
      <c r="E18" s="199" t="s">
        <v>8</v>
      </c>
      <c r="F18" s="205">
        <v>814</v>
      </c>
      <c r="G18" s="201">
        <v>86.5</v>
      </c>
      <c r="H18" s="202">
        <v>1</v>
      </c>
      <c r="I18" s="189">
        <v>0.79510000000000003</v>
      </c>
      <c r="J18" s="191">
        <v>189341</v>
      </c>
      <c r="K18" s="191">
        <v>150538</v>
      </c>
      <c r="L18" s="191">
        <v>614</v>
      </c>
      <c r="M18" s="191">
        <f t="shared" si="1"/>
        <v>38189</v>
      </c>
      <c r="N18" s="200" t="s">
        <v>355</v>
      </c>
      <c r="O18" s="277">
        <v>17.25</v>
      </c>
      <c r="P18" s="204" t="s">
        <v>208</v>
      </c>
    </row>
    <row r="19" spans="1:16" s="194" customFormat="1" ht="77.25" customHeight="1">
      <c r="A19" s="183">
        <v>10</v>
      </c>
      <c r="B19" s="279" t="s">
        <v>141</v>
      </c>
      <c r="C19" s="186" t="s">
        <v>269</v>
      </c>
      <c r="D19" s="200" t="s">
        <v>166</v>
      </c>
      <c r="E19" s="220" t="s">
        <v>8</v>
      </c>
      <c r="F19" s="187">
        <v>1083</v>
      </c>
      <c r="G19" s="188">
        <v>85.5</v>
      </c>
      <c r="H19" s="189">
        <v>1</v>
      </c>
      <c r="I19" s="189">
        <v>0.44019999999999998</v>
      </c>
      <c r="J19" s="191">
        <v>321838</v>
      </c>
      <c r="K19" s="191">
        <v>141684</v>
      </c>
      <c r="L19" s="191">
        <v>10023</v>
      </c>
      <c r="M19" s="191">
        <f t="shared" si="1"/>
        <v>170131</v>
      </c>
      <c r="N19" s="261" t="s">
        <v>356</v>
      </c>
      <c r="O19" s="192">
        <v>52940000</v>
      </c>
      <c r="P19" s="257" t="s">
        <v>208</v>
      </c>
    </row>
    <row r="20" spans="1:16" s="194" customFormat="1" ht="77.25" customHeight="1">
      <c r="A20" s="183">
        <v>11</v>
      </c>
      <c r="B20" s="198" t="s">
        <v>33</v>
      </c>
      <c r="C20" s="186" t="s">
        <v>269</v>
      </c>
      <c r="D20" s="200" t="s">
        <v>166</v>
      </c>
      <c r="E20" s="199" t="s">
        <v>8</v>
      </c>
      <c r="F20" s="205">
        <v>1385</v>
      </c>
      <c r="G20" s="188">
        <v>84.5</v>
      </c>
      <c r="H20" s="189">
        <v>1</v>
      </c>
      <c r="I20" s="189">
        <v>0.73470000000000002</v>
      </c>
      <c r="J20" s="191">
        <v>520618</v>
      </c>
      <c r="K20" s="191">
        <v>382496</v>
      </c>
      <c r="L20" s="191">
        <v>2000</v>
      </c>
      <c r="M20" s="191">
        <f t="shared" si="1"/>
        <v>136122</v>
      </c>
      <c r="N20" s="261" t="s">
        <v>403</v>
      </c>
      <c r="O20" s="192">
        <v>93770000</v>
      </c>
      <c r="P20" s="281" t="s">
        <v>211</v>
      </c>
    </row>
    <row r="21" spans="1:16" s="194" customFormat="1" ht="204.75" customHeight="1">
      <c r="A21" s="183">
        <v>12</v>
      </c>
      <c r="B21" s="198" t="s">
        <v>207</v>
      </c>
      <c r="C21" s="186" t="s">
        <v>269</v>
      </c>
      <c r="D21" s="200" t="s">
        <v>166</v>
      </c>
      <c r="E21" s="199" t="s">
        <v>8</v>
      </c>
      <c r="F21" s="205">
        <v>416</v>
      </c>
      <c r="G21" s="188">
        <v>84.5</v>
      </c>
      <c r="H21" s="189">
        <v>1</v>
      </c>
      <c r="I21" s="189">
        <v>0.91379999999999995</v>
      </c>
      <c r="J21" s="191">
        <v>1497133</v>
      </c>
      <c r="K21" s="191">
        <v>1368069</v>
      </c>
      <c r="L21" s="191">
        <v>0</v>
      </c>
      <c r="M21" s="191">
        <f t="shared" si="1"/>
        <v>129064</v>
      </c>
      <c r="N21" s="199" t="s">
        <v>404</v>
      </c>
      <c r="O21" s="192">
        <f>356262185/4.8</f>
        <v>74221288.541666672</v>
      </c>
      <c r="P21" s="257" t="s">
        <v>405</v>
      </c>
    </row>
    <row r="22" spans="1:16" s="194" customFormat="1" ht="77.25" customHeight="1">
      <c r="A22" s="183">
        <v>13</v>
      </c>
      <c r="B22" s="198" t="s">
        <v>22</v>
      </c>
      <c r="C22" s="186" t="s">
        <v>269</v>
      </c>
      <c r="D22" s="200" t="s">
        <v>166</v>
      </c>
      <c r="E22" s="199" t="s">
        <v>8</v>
      </c>
      <c r="F22" s="205">
        <v>909</v>
      </c>
      <c r="G22" s="201">
        <v>82.5</v>
      </c>
      <c r="H22" s="202">
        <v>1</v>
      </c>
      <c r="I22" s="189">
        <v>0.77359999999999995</v>
      </c>
      <c r="J22" s="191">
        <v>1174445</v>
      </c>
      <c r="K22" s="191">
        <v>908599</v>
      </c>
      <c r="L22" s="191">
        <v>28443</v>
      </c>
      <c r="M22" s="191">
        <f t="shared" si="1"/>
        <v>237403</v>
      </c>
      <c r="N22" s="200" t="s">
        <v>407</v>
      </c>
      <c r="O22" s="192">
        <v>60571000</v>
      </c>
      <c r="P22" s="280" t="s">
        <v>305</v>
      </c>
    </row>
    <row r="23" spans="1:16" s="194" customFormat="1" ht="172.5" customHeight="1">
      <c r="A23" s="183">
        <v>14</v>
      </c>
      <c r="B23" s="198" t="s">
        <v>26</v>
      </c>
      <c r="C23" s="186" t="s">
        <v>269</v>
      </c>
      <c r="D23" s="200" t="s">
        <v>166</v>
      </c>
      <c r="E23" s="199" t="s">
        <v>8</v>
      </c>
      <c r="F23" s="205">
        <v>411</v>
      </c>
      <c r="G23" s="201">
        <v>81.5</v>
      </c>
      <c r="H23" s="206">
        <v>1</v>
      </c>
      <c r="I23" s="189">
        <v>0.9859</v>
      </c>
      <c r="J23" s="191">
        <v>1932217</v>
      </c>
      <c r="K23" s="191">
        <v>1905008</v>
      </c>
      <c r="L23" s="191">
        <v>180</v>
      </c>
      <c r="M23" s="191">
        <f t="shared" si="1"/>
        <v>27029</v>
      </c>
      <c r="N23" s="261" t="s">
        <v>413</v>
      </c>
      <c r="O23" s="192">
        <v>1192250000</v>
      </c>
      <c r="P23" s="257" t="s">
        <v>321</v>
      </c>
    </row>
    <row r="24" spans="1:16" s="194" customFormat="1" ht="77.25" customHeight="1">
      <c r="A24" s="183">
        <v>15</v>
      </c>
      <c r="B24" s="198" t="s">
        <v>19</v>
      </c>
      <c r="C24" s="186" t="s">
        <v>269</v>
      </c>
      <c r="D24" s="200" t="s">
        <v>166</v>
      </c>
      <c r="E24" s="199" t="s">
        <v>8</v>
      </c>
      <c r="F24" s="205">
        <v>996</v>
      </c>
      <c r="G24" s="201">
        <v>81.5</v>
      </c>
      <c r="H24" s="189">
        <v>1</v>
      </c>
      <c r="I24" s="189">
        <v>0.7802</v>
      </c>
      <c r="J24" s="191">
        <v>531394</v>
      </c>
      <c r="K24" s="191">
        <v>414577</v>
      </c>
      <c r="L24" s="191">
        <v>1190</v>
      </c>
      <c r="M24" s="191">
        <f t="shared" si="1"/>
        <v>115627</v>
      </c>
      <c r="N24" s="261" t="s">
        <v>361</v>
      </c>
      <c r="O24" s="192">
        <v>904153000</v>
      </c>
      <c r="P24" s="204" t="s">
        <v>209</v>
      </c>
    </row>
    <row r="25" spans="1:16" s="194" customFormat="1" ht="77.25" customHeight="1">
      <c r="A25" s="183">
        <v>16</v>
      </c>
      <c r="B25" s="198" t="s">
        <v>10</v>
      </c>
      <c r="C25" s="186" t="s">
        <v>269</v>
      </c>
      <c r="D25" s="200" t="s">
        <v>166</v>
      </c>
      <c r="E25" s="199" t="s">
        <v>8</v>
      </c>
      <c r="F25" s="205">
        <v>990</v>
      </c>
      <c r="G25" s="201">
        <v>81.5</v>
      </c>
      <c r="H25" s="189">
        <v>1</v>
      </c>
      <c r="I25" s="189">
        <v>0.62350000000000005</v>
      </c>
      <c r="J25" s="191">
        <v>1397821</v>
      </c>
      <c r="K25" s="191">
        <v>871590</v>
      </c>
      <c r="L25" s="191">
        <v>17354</v>
      </c>
      <c r="M25" s="191">
        <f t="shared" si="1"/>
        <v>508877</v>
      </c>
      <c r="N25" s="229" t="s">
        <v>201</v>
      </c>
      <c r="O25" s="192">
        <v>755742000</v>
      </c>
      <c r="P25" s="204" t="s">
        <v>210</v>
      </c>
    </row>
    <row r="26" spans="1:16" s="194" customFormat="1" ht="77.25" customHeight="1">
      <c r="A26" s="183">
        <v>17</v>
      </c>
      <c r="B26" s="198" t="s">
        <v>16</v>
      </c>
      <c r="C26" s="186" t="s">
        <v>269</v>
      </c>
      <c r="D26" s="200" t="s">
        <v>166</v>
      </c>
      <c r="E26" s="199" t="s">
        <v>8</v>
      </c>
      <c r="F26" s="205">
        <v>991</v>
      </c>
      <c r="G26" s="201">
        <v>81.5</v>
      </c>
      <c r="H26" s="189">
        <v>1</v>
      </c>
      <c r="I26" s="189">
        <v>0.8931</v>
      </c>
      <c r="J26" s="191">
        <v>1302478</v>
      </c>
      <c r="K26" s="191">
        <v>1163218</v>
      </c>
      <c r="L26" s="191">
        <v>160</v>
      </c>
      <c r="M26" s="191">
        <f t="shared" si="1"/>
        <v>139100</v>
      </c>
      <c r="N26" s="200" t="s">
        <v>451</v>
      </c>
      <c r="O26" s="192">
        <f>219.6*1000000</f>
        <v>219600000</v>
      </c>
      <c r="P26" s="257" t="s">
        <v>211</v>
      </c>
    </row>
    <row r="27" spans="1:16" s="194" customFormat="1" ht="77.25" customHeight="1">
      <c r="A27" s="183">
        <v>18</v>
      </c>
      <c r="B27" s="198" t="s">
        <v>42</v>
      </c>
      <c r="C27" s="186" t="s">
        <v>269</v>
      </c>
      <c r="D27" s="200" t="s">
        <v>166</v>
      </c>
      <c r="E27" s="199" t="s">
        <v>8</v>
      </c>
      <c r="F27" s="205">
        <v>1175</v>
      </c>
      <c r="G27" s="201">
        <v>81.5</v>
      </c>
      <c r="H27" s="189">
        <v>1</v>
      </c>
      <c r="I27" s="189">
        <v>1</v>
      </c>
      <c r="J27" s="191">
        <v>234187</v>
      </c>
      <c r="K27" s="191">
        <v>234183</v>
      </c>
      <c r="L27" s="191">
        <v>0</v>
      </c>
      <c r="M27" s="191">
        <f t="shared" si="1"/>
        <v>4</v>
      </c>
      <c r="N27" s="200" t="s">
        <v>361</v>
      </c>
      <c r="O27" s="192">
        <v>178620000</v>
      </c>
      <c r="P27" s="204" t="s">
        <v>208</v>
      </c>
    </row>
    <row r="28" spans="1:16" s="194" customFormat="1" ht="90.75" customHeight="1">
      <c r="A28" s="183">
        <v>19</v>
      </c>
      <c r="B28" s="198" t="s">
        <v>43</v>
      </c>
      <c r="C28" s="186" t="s">
        <v>269</v>
      </c>
      <c r="D28" s="200" t="s">
        <v>166</v>
      </c>
      <c r="E28" s="199" t="s">
        <v>8</v>
      </c>
      <c r="F28" s="205">
        <v>397</v>
      </c>
      <c r="G28" s="188">
        <v>81.5</v>
      </c>
      <c r="H28" s="303">
        <v>1</v>
      </c>
      <c r="I28" s="303">
        <v>0.78369999999999995</v>
      </c>
      <c r="J28" s="304">
        <v>775042</v>
      </c>
      <c r="K28" s="304">
        <v>607397</v>
      </c>
      <c r="L28" s="304">
        <v>660</v>
      </c>
      <c r="M28" s="191">
        <f t="shared" si="1"/>
        <v>166985</v>
      </c>
      <c r="N28" s="240" t="s">
        <v>427</v>
      </c>
      <c r="O28" s="192">
        <v>169000000</v>
      </c>
      <c r="P28" s="257" t="s">
        <v>319</v>
      </c>
    </row>
    <row r="29" spans="1:16" s="194" customFormat="1" ht="77.25" customHeight="1">
      <c r="A29" s="183">
        <v>20</v>
      </c>
      <c r="B29" s="198" t="s">
        <v>150</v>
      </c>
      <c r="C29" s="186" t="s">
        <v>269</v>
      </c>
      <c r="D29" s="200" t="s">
        <v>166</v>
      </c>
      <c r="E29" s="199" t="s">
        <v>8</v>
      </c>
      <c r="F29" s="205">
        <v>1082</v>
      </c>
      <c r="G29" s="188">
        <v>81.5</v>
      </c>
      <c r="H29" s="189">
        <v>1</v>
      </c>
      <c r="I29" s="189">
        <v>0.50849999999999995</v>
      </c>
      <c r="J29" s="191">
        <v>461513</v>
      </c>
      <c r="K29" s="191">
        <v>234658</v>
      </c>
      <c r="L29" s="191">
        <v>3570</v>
      </c>
      <c r="M29" s="191">
        <f t="shared" si="1"/>
        <v>223285</v>
      </c>
      <c r="N29" s="261" t="s">
        <v>452</v>
      </c>
      <c r="O29" s="192">
        <v>162664000</v>
      </c>
      <c r="P29" s="280" t="s">
        <v>211</v>
      </c>
    </row>
    <row r="30" spans="1:16" s="194" customFormat="1" ht="105" customHeight="1">
      <c r="A30" s="183">
        <v>21</v>
      </c>
      <c r="B30" s="198" t="s">
        <v>41</v>
      </c>
      <c r="C30" s="186" t="s">
        <v>269</v>
      </c>
      <c r="D30" s="200" t="s">
        <v>166</v>
      </c>
      <c r="E30" s="199" t="s">
        <v>8</v>
      </c>
      <c r="F30" s="205">
        <v>401</v>
      </c>
      <c r="G30" s="201">
        <v>81.5</v>
      </c>
      <c r="H30" s="202">
        <v>1</v>
      </c>
      <c r="I30" s="189">
        <v>0.73719999999999997</v>
      </c>
      <c r="J30" s="203">
        <v>1650060</v>
      </c>
      <c r="K30" s="203">
        <v>1216378</v>
      </c>
      <c r="L30" s="203">
        <v>25</v>
      </c>
      <c r="M30" s="191">
        <f t="shared" si="1"/>
        <v>433657</v>
      </c>
      <c r="N30" s="200" t="s">
        <v>404</v>
      </c>
      <c r="O30" s="192">
        <v>96000000</v>
      </c>
      <c r="P30" s="257" t="s">
        <v>410</v>
      </c>
    </row>
    <row r="31" spans="1:16" s="194" customFormat="1" ht="77.25" customHeight="1">
      <c r="A31" s="183">
        <v>22</v>
      </c>
      <c r="B31" s="198" t="s">
        <v>31</v>
      </c>
      <c r="C31" s="186" t="s">
        <v>269</v>
      </c>
      <c r="D31" s="200" t="s">
        <v>166</v>
      </c>
      <c r="E31" s="199" t="s">
        <v>8</v>
      </c>
      <c r="F31" s="205">
        <v>982</v>
      </c>
      <c r="G31" s="188">
        <v>81.5</v>
      </c>
      <c r="H31" s="189">
        <v>1</v>
      </c>
      <c r="I31" s="189">
        <v>0.74839999999999995</v>
      </c>
      <c r="J31" s="191">
        <v>416658</v>
      </c>
      <c r="K31" s="191">
        <v>311817</v>
      </c>
      <c r="L31" s="191">
        <v>5555</v>
      </c>
      <c r="M31" s="191">
        <f t="shared" si="1"/>
        <v>99286</v>
      </c>
      <c r="N31" s="261" t="s">
        <v>418</v>
      </c>
      <c r="O31" s="192">
        <v>68340000</v>
      </c>
      <c r="P31" s="257" t="s">
        <v>414</v>
      </c>
    </row>
    <row r="32" spans="1:16" s="194" customFormat="1" ht="77.25" customHeight="1">
      <c r="A32" s="183">
        <v>23</v>
      </c>
      <c r="B32" s="279" t="s">
        <v>142</v>
      </c>
      <c r="C32" s="186" t="s">
        <v>269</v>
      </c>
      <c r="D32" s="200" t="s">
        <v>166</v>
      </c>
      <c r="E32" s="220" t="s">
        <v>8</v>
      </c>
      <c r="F32" s="187">
        <v>1085</v>
      </c>
      <c r="G32" s="201">
        <v>81.5</v>
      </c>
      <c r="H32" s="189">
        <v>1</v>
      </c>
      <c r="I32" s="189">
        <v>0.55300000000000005</v>
      </c>
      <c r="J32" s="191">
        <v>348744</v>
      </c>
      <c r="K32" s="191">
        <v>192859</v>
      </c>
      <c r="L32" s="191">
        <v>0</v>
      </c>
      <c r="M32" s="191">
        <f t="shared" si="1"/>
        <v>155885</v>
      </c>
      <c r="N32" s="200" t="s">
        <v>361</v>
      </c>
      <c r="O32" s="192">
        <v>46280000</v>
      </c>
      <c r="P32" s="204" t="s">
        <v>208</v>
      </c>
    </row>
    <row r="33" spans="1:16" s="194" customFormat="1" ht="77.25" customHeight="1">
      <c r="A33" s="183">
        <v>24</v>
      </c>
      <c r="B33" s="198" t="s">
        <v>38</v>
      </c>
      <c r="C33" s="186" t="s">
        <v>269</v>
      </c>
      <c r="D33" s="200" t="s">
        <v>166</v>
      </c>
      <c r="E33" s="199" t="s">
        <v>8</v>
      </c>
      <c r="F33" s="205">
        <v>418</v>
      </c>
      <c r="G33" s="201">
        <v>79.5</v>
      </c>
      <c r="H33" s="189">
        <v>1</v>
      </c>
      <c r="I33" s="189">
        <v>0.60819999999999996</v>
      </c>
      <c r="J33" s="191">
        <v>282039</v>
      </c>
      <c r="K33" s="191">
        <v>171548</v>
      </c>
      <c r="L33" s="191">
        <v>0</v>
      </c>
      <c r="M33" s="191">
        <f t="shared" ref="M33:M58" si="2">J33-K33-L33</f>
        <v>110491</v>
      </c>
      <c r="N33" s="199" t="s">
        <v>415</v>
      </c>
      <c r="O33" s="192">
        <v>150349000</v>
      </c>
      <c r="P33" s="204" t="s">
        <v>208</v>
      </c>
    </row>
    <row r="34" spans="1:16" s="194" customFormat="1" ht="77.25" customHeight="1">
      <c r="A34" s="183">
        <v>25</v>
      </c>
      <c r="B34" s="198" t="s">
        <v>45</v>
      </c>
      <c r="C34" s="186" t="s">
        <v>269</v>
      </c>
      <c r="D34" s="200" t="s">
        <v>166</v>
      </c>
      <c r="E34" s="199" t="s">
        <v>8</v>
      </c>
      <c r="F34" s="205">
        <v>418</v>
      </c>
      <c r="G34" s="201">
        <v>79.5</v>
      </c>
      <c r="H34" s="206">
        <v>1</v>
      </c>
      <c r="I34" s="189">
        <v>0.63849999999999996</v>
      </c>
      <c r="J34" s="191">
        <v>373866</v>
      </c>
      <c r="K34" s="191">
        <v>238708</v>
      </c>
      <c r="L34" s="191">
        <v>0</v>
      </c>
      <c r="M34" s="191">
        <f t="shared" si="2"/>
        <v>135158</v>
      </c>
      <c r="N34" s="200" t="s">
        <v>416</v>
      </c>
      <c r="O34" s="192">
        <v>88140000</v>
      </c>
      <c r="P34" s="204" t="s">
        <v>208</v>
      </c>
    </row>
    <row r="35" spans="1:16" s="194" customFormat="1" ht="77.25" customHeight="1">
      <c r="A35" s="183">
        <v>26</v>
      </c>
      <c r="B35" s="198" t="s">
        <v>47</v>
      </c>
      <c r="C35" s="186" t="s">
        <v>269</v>
      </c>
      <c r="D35" s="200" t="s">
        <v>166</v>
      </c>
      <c r="E35" s="199" t="s">
        <v>8</v>
      </c>
      <c r="F35" s="205">
        <v>1385</v>
      </c>
      <c r="G35" s="201">
        <v>79.5</v>
      </c>
      <c r="H35" s="189">
        <v>1</v>
      </c>
      <c r="I35" s="189">
        <v>0.46160000000000001</v>
      </c>
      <c r="J35" s="191">
        <v>334360</v>
      </c>
      <c r="K35" s="191">
        <v>154353</v>
      </c>
      <c r="L35" s="191">
        <v>0</v>
      </c>
      <c r="M35" s="191">
        <f t="shared" si="2"/>
        <v>180007</v>
      </c>
      <c r="N35" s="205" t="s">
        <v>417</v>
      </c>
      <c r="O35" s="192">
        <v>61101000</v>
      </c>
      <c r="P35" s="204" t="s">
        <v>454</v>
      </c>
    </row>
    <row r="36" spans="1:16" s="194" customFormat="1" ht="77.25" customHeight="1">
      <c r="A36" s="183">
        <v>27</v>
      </c>
      <c r="B36" s="198" t="s">
        <v>53</v>
      </c>
      <c r="C36" s="186" t="s">
        <v>269</v>
      </c>
      <c r="D36" s="200" t="s">
        <v>166</v>
      </c>
      <c r="E36" s="199" t="s">
        <v>8</v>
      </c>
      <c r="F36" s="205">
        <v>1385</v>
      </c>
      <c r="G36" s="188">
        <v>79.5</v>
      </c>
      <c r="H36" s="189">
        <v>1</v>
      </c>
      <c r="I36" s="189">
        <v>0.71419999999999995</v>
      </c>
      <c r="J36" s="191">
        <v>285931</v>
      </c>
      <c r="K36" s="191">
        <v>204219</v>
      </c>
      <c r="L36" s="191">
        <v>0</v>
      </c>
      <c r="M36" s="191">
        <f t="shared" si="2"/>
        <v>81712</v>
      </c>
      <c r="N36" s="200" t="s">
        <v>355</v>
      </c>
      <c r="O36" s="192">
        <v>45736000</v>
      </c>
      <c r="P36" s="280" t="s">
        <v>211</v>
      </c>
    </row>
    <row r="37" spans="1:16" s="194" customFormat="1" ht="77.25" customHeight="1">
      <c r="A37" s="183">
        <v>28</v>
      </c>
      <c r="B37" s="198" t="s">
        <v>159</v>
      </c>
      <c r="C37" s="186" t="s">
        <v>269</v>
      </c>
      <c r="D37" s="200" t="s">
        <v>166</v>
      </c>
      <c r="E37" s="199" t="s">
        <v>8</v>
      </c>
      <c r="F37" s="205">
        <v>417</v>
      </c>
      <c r="G37" s="201">
        <v>79.5</v>
      </c>
      <c r="H37" s="189">
        <v>1</v>
      </c>
      <c r="I37" s="189">
        <v>0.96109999999999995</v>
      </c>
      <c r="J37" s="191">
        <v>115885</v>
      </c>
      <c r="K37" s="191">
        <v>111374</v>
      </c>
      <c r="L37" s="191">
        <v>0</v>
      </c>
      <c r="M37" s="191">
        <f t="shared" si="2"/>
        <v>4511</v>
      </c>
      <c r="N37" s="200" t="s">
        <v>416</v>
      </c>
      <c r="O37" s="192">
        <v>22990000</v>
      </c>
      <c r="P37" s="209" t="s">
        <v>215</v>
      </c>
    </row>
    <row r="38" spans="1:16" s="194" customFormat="1" ht="77.25" customHeight="1">
      <c r="A38" s="183">
        <v>29</v>
      </c>
      <c r="B38" s="198" t="s">
        <v>205</v>
      </c>
      <c r="C38" s="186" t="s">
        <v>269</v>
      </c>
      <c r="D38" s="200" t="s">
        <v>169</v>
      </c>
      <c r="E38" s="199" t="s">
        <v>8</v>
      </c>
      <c r="F38" s="205">
        <v>384</v>
      </c>
      <c r="G38" s="188">
        <v>79</v>
      </c>
      <c r="H38" s="189">
        <v>1</v>
      </c>
      <c r="I38" s="189">
        <v>0.92600000000000005</v>
      </c>
      <c r="J38" s="191">
        <v>2023407</v>
      </c>
      <c r="K38" s="191">
        <v>1877036</v>
      </c>
      <c r="L38" s="191">
        <v>1032</v>
      </c>
      <c r="M38" s="191">
        <f t="shared" si="2"/>
        <v>145339</v>
      </c>
      <c r="N38" s="200" t="s">
        <v>456</v>
      </c>
      <c r="O38" s="208">
        <f>15.8*1000000</f>
        <v>15800000</v>
      </c>
      <c r="P38" s="209" t="s">
        <v>428</v>
      </c>
    </row>
    <row r="39" spans="1:16" s="194" customFormat="1" ht="141.75" customHeight="1">
      <c r="A39" s="183">
        <v>30</v>
      </c>
      <c r="B39" s="198" t="s">
        <v>48</v>
      </c>
      <c r="C39" s="186" t="s">
        <v>269</v>
      </c>
      <c r="D39" s="200" t="s">
        <v>166</v>
      </c>
      <c r="E39" s="199" t="s">
        <v>8</v>
      </c>
      <c r="F39" s="205">
        <v>1174</v>
      </c>
      <c r="G39" s="201">
        <v>78</v>
      </c>
      <c r="H39" s="202">
        <v>1</v>
      </c>
      <c r="I39" s="207">
        <v>1.2190000000000001</v>
      </c>
      <c r="J39" s="191">
        <v>329248</v>
      </c>
      <c r="K39" s="191">
        <v>401340</v>
      </c>
      <c r="L39" s="191">
        <v>0</v>
      </c>
      <c r="M39" s="191">
        <f t="shared" si="2"/>
        <v>-72092</v>
      </c>
      <c r="N39" s="200" t="s">
        <v>404</v>
      </c>
      <c r="O39" s="192">
        <v>539237000</v>
      </c>
      <c r="P39" s="280" t="s">
        <v>320</v>
      </c>
    </row>
    <row r="40" spans="1:16" s="194" customFormat="1" ht="148.5" customHeight="1">
      <c r="A40" s="183">
        <v>31</v>
      </c>
      <c r="B40" s="198" t="s">
        <v>49</v>
      </c>
      <c r="C40" s="186" t="s">
        <v>269</v>
      </c>
      <c r="D40" s="200" t="s">
        <v>166</v>
      </c>
      <c r="E40" s="199" t="s">
        <v>8</v>
      </c>
      <c r="F40" s="205">
        <v>1165</v>
      </c>
      <c r="G40" s="201">
        <v>78</v>
      </c>
      <c r="H40" s="189">
        <v>1</v>
      </c>
      <c r="I40" s="189">
        <v>1.1124000000000001</v>
      </c>
      <c r="J40" s="191">
        <v>204118</v>
      </c>
      <c r="K40" s="191">
        <v>227058</v>
      </c>
      <c r="L40" s="191">
        <v>0</v>
      </c>
      <c r="M40" s="191">
        <f t="shared" si="2"/>
        <v>-22940</v>
      </c>
      <c r="N40" s="307" t="s">
        <v>417</v>
      </c>
      <c r="O40" s="192">
        <v>162664000</v>
      </c>
      <c r="P40" s="280" t="s">
        <v>317</v>
      </c>
    </row>
    <row r="41" spans="1:16" s="194" customFormat="1" ht="128.25" customHeight="1">
      <c r="A41" s="183">
        <v>32</v>
      </c>
      <c r="B41" s="198" t="s">
        <v>144</v>
      </c>
      <c r="C41" s="186" t="s">
        <v>269</v>
      </c>
      <c r="D41" s="200" t="s">
        <v>166</v>
      </c>
      <c r="E41" s="199" t="s">
        <v>8</v>
      </c>
      <c r="F41" s="205">
        <v>399</v>
      </c>
      <c r="G41" s="201">
        <v>78</v>
      </c>
      <c r="H41" s="202">
        <v>1</v>
      </c>
      <c r="I41" s="189">
        <v>0.78749999999999998</v>
      </c>
      <c r="J41" s="191">
        <v>887402</v>
      </c>
      <c r="K41" s="191">
        <v>698819</v>
      </c>
      <c r="L41" s="191">
        <v>0</v>
      </c>
      <c r="M41" s="191">
        <f t="shared" si="2"/>
        <v>188583</v>
      </c>
      <c r="N41" s="261" t="s">
        <v>408</v>
      </c>
      <c r="O41" s="192">
        <v>136300000</v>
      </c>
      <c r="P41" s="257" t="s">
        <v>409</v>
      </c>
    </row>
    <row r="42" spans="1:16" s="194" customFormat="1" ht="180.75" customHeight="1">
      <c r="A42" s="183">
        <v>33</v>
      </c>
      <c r="B42" s="198" t="s">
        <v>151</v>
      </c>
      <c r="C42" s="186" t="s">
        <v>269</v>
      </c>
      <c r="D42" s="200" t="s">
        <v>166</v>
      </c>
      <c r="E42" s="199" t="s">
        <v>8</v>
      </c>
      <c r="F42" s="205">
        <v>412</v>
      </c>
      <c r="G42" s="188">
        <v>78</v>
      </c>
      <c r="H42" s="189">
        <v>1</v>
      </c>
      <c r="I42" s="189">
        <v>1.0098</v>
      </c>
      <c r="J42" s="191">
        <v>1763194</v>
      </c>
      <c r="K42" s="191">
        <v>1780488</v>
      </c>
      <c r="L42" s="191">
        <v>18</v>
      </c>
      <c r="M42" s="191">
        <f t="shared" si="2"/>
        <v>-17312</v>
      </c>
      <c r="N42" s="229" t="s">
        <v>202</v>
      </c>
      <c r="O42" s="192">
        <v>130260000</v>
      </c>
      <c r="P42" s="257" t="s">
        <v>321</v>
      </c>
    </row>
    <row r="43" spans="1:16" s="194" customFormat="1" ht="156" customHeight="1">
      <c r="A43" s="183">
        <v>34</v>
      </c>
      <c r="B43" s="198" t="s">
        <v>44</v>
      </c>
      <c r="C43" s="186" t="s">
        <v>269</v>
      </c>
      <c r="D43" s="200" t="s">
        <v>166</v>
      </c>
      <c r="E43" s="199" t="s">
        <v>8</v>
      </c>
      <c r="F43" s="205">
        <v>400</v>
      </c>
      <c r="G43" s="188">
        <v>78</v>
      </c>
      <c r="H43" s="189">
        <v>1</v>
      </c>
      <c r="I43" s="189">
        <v>1.0089999999999999</v>
      </c>
      <c r="J43" s="191">
        <v>1405079</v>
      </c>
      <c r="K43" s="191">
        <v>1417786</v>
      </c>
      <c r="L43" s="191">
        <v>36763</v>
      </c>
      <c r="M43" s="191">
        <f t="shared" si="2"/>
        <v>-49470</v>
      </c>
      <c r="N43" s="227" t="s">
        <v>417</v>
      </c>
      <c r="O43" s="192">
        <v>104000000</v>
      </c>
      <c r="P43" s="257" t="s">
        <v>318</v>
      </c>
    </row>
    <row r="44" spans="1:16" s="194" customFormat="1" ht="171" customHeight="1">
      <c r="A44" s="183">
        <v>35</v>
      </c>
      <c r="B44" s="198" t="s">
        <v>36</v>
      </c>
      <c r="C44" s="186" t="s">
        <v>269</v>
      </c>
      <c r="D44" s="200" t="s">
        <v>166</v>
      </c>
      <c r="E44" s="199" t="s">
        <v>8</v>
      </c>
      <c r="F44" s="205">
        <v>1115</v>
      </c>
      <c r="G44" s="201">
        <v>78</v>
      </c>
      <c r="H44" s="207">
        <v>1</v>
      </c>
      <c r="I44" s="207">
        <v>1.0232000000000001</v>
      </c>
      <c r="J44" s="191">
        <v>322976</v>
      </c>
      <c r="K44" s="191">
        <v>330470</v>
      </c>
      <c r="L44" s="191">
        <v>46209</v>
      </c>
      <c r="M44" s="191">
        <f t="shared" si="2"/>
        <v>-53703</v>
      </c>
      <c r="N44" s="200" t="s">
        <v>418</v>
      </c>
      <c r="O44" s="192">
        <v>46170000</v>
      </c>
      <c r="P44" s="280" t="s">
        <v>317</v>
      </c>
    </row>
    <row r="45" spans="1:16" s="194" customFormat="1" ht="161.25" customHeight="1">
      <c r="A45" s="183">
        <v>36</v>
      </c>
      <c r="B45" s="198" t="s">
        <v>35</v>
      </c>
      <c r="C45" s="186" t="s">
        <v>269</v>
      </c>
      <c r="D45" s="200" t="s">
        <v>166</v>
      </c>
      <c r="E45" s="199" t="s">
        <v>8</v>
      </c>
      <c r="F45" s="205">
        <v>1173</v>
      </c>
      <c r="G45" s="201">
        <v>78</v>
      </c>
      <c r="H45" s="274">
        <v>1</v>
      </c>
      <c r="I45" s="189">
        <v>1.0273000000000001</v>
      </c>
      <c r="J45" s="191">
        <v>269440</v>
      </c>
      <c r="K45" s="191">
        <v>276794</v>
      </c>
      <c r="L45" s="191">
        <v>0</v>
      </c>
      <c r="M45" s="191">
        <f t="shared" si="2"/>
        <v>-7354</v>
      </c>
      <c r="N45" s="200" t="s">
        <v>418</v>
      </c>
      <c r="O45" s="192">
        <v>37370000</v>
      </c>
      <c r="P45" s="280" t="s">
        <v>317</v>
      </c>
    </row>
    <row r="46" spans="1:16" s="194" customFormat="1" ht="77.25" customHeight="1">
      <c r="A46" s="183">
        <v>37</v>
      </c>
      <c r="B46" s="198" t="s">
        <v>161</v>
      </c>
      <c r="C46" s="186" t="s">
        <v>269</v>
      </c>
      <c r="D46" s="200" t="s">
        <v>166</v>
      </c>
      <c r="E46" s="199" t="s">
        <v>8</v>
      </c>
      <c r="F46" s="205">
        <v>367</v>
      </c>
      <c r="G46" s="220">
        <v>78</v>
      </c>
      <c r="H46" s="207">
        <v>1</v>
      </c>
      <c r="I46" s="207">
        <v>0.56200000000000006</v>
      </c>
      <c r="J46" s="203">
        <v>275523</v>
      </c>
      <c r="K46" s="203">
        <v>154855</v>
      </c>
      <c r="L46" s="203">
        <v>0</v>
      </c>
      <c r="M46" s="191">
        <f t="shared" si="2"/>
        <v>120668</v>
      </c>
      <c r="N46" s="199" t="s">
        <v>404</v>
      </c>
      <c r="O46" s="208">
        <f>11423728/4.8</f>
        <v>2379943.3333333335</v>
      </c>
      <c r="P46" s="204" t="s">
        <v>208</v>
      </c>
    </row>
    <row r="47" spans="1:16" s="194" customFormat="1" ht="77.25" customHeight="1">
      <c r="A47" s="183">
        <v>38</v>
      </c>
      <c r="B47" s="198" t="s">
        <v>126</v>
      </c>
      <c r="C47" s="186" t="s">
        <v>269</v>
      </c>
      <c r="D47" s="200" t="s">
        <v>166</v>
      </c>
      <c r="E47" s="199" t="s">
        <v>8</v>
      </c>
      <c r="F47" s="205">
        <v>873</v>
      </c>
      <c r="G47" s="201">
        <v>77.5</v>
      </c>
      <c r="H47" s="206">
        <v>1</v>
      </c>
      <c r="I47" s="207">
        <v>0.75690000000000002</v>
      </c>
      <c r="J47" s="203">
        <v>102108</v>
      </c>
      <c r="K47" s="203">
        <v>77285</v>
      </c>
      <c r="L47" s="203">
        <v>15167</v>
      </c>
      <c r="M47" s="191">
        <f t="shared" si="2"/>
        <v>9656</v>
      </c>
      <c r="N47" s="200" t="s">
        <v>361</v>
      </c>
      <c r="O47" s="208">
        <v>55938510</v>
      </c>
      <c r="P47" s="204" t="s">
        <v>208</v>
      </c>
    </row>
    <row r="48" spans="1:16" s="194" customFormat="1" ht="151.5" customHeight="1">
      <c r="A48" s="183">
        <v>39</v>
      </c>
      <c r="B48" s="198" t="s">
        <v>46</v>
      </c>
      <c r="C48" s="186" t="s">
        <v>269</v>
      </c>
      <c r="D48" s="200" t="s">
        <v>166</v>
      </c>
      <c r="E48" s="199" t="s">
        <v>8</v>
      </c>
      <c r="F48" s="205">
        <v>416</v>
      </c>
      <c r="G48" s="201">
        <v>76</v>
      </c>
      <c r="H48" s="206">
        <v>1</v>
      </c>
      <c r="I48" s="189">
        <v>3.3125</v>
      </c>
      <c r="J48" s="191">
        <v>144433</v>
      </c>
      <c r="K48" s="191">
        <v>478438</v>
      </c>
      <c r="L48" s="191">
        <v>0</v>
      </c>
      <c r="M48" s="191">
        <f t="shared" si="2"/>
        <v>-334005</v>
      </c>
      <c r="N48" s="262" t="s">
        <v>417</v>
      </c>
      <c r="O48" s="192">
        <f>377468907.56/4.8</f>
        <v>78639355.741666675</v>
      </c>
      <c r="P48" s="280" t="s">
        <v>320</v>
      </c>
    </row>
    <row r="49" spans="1:18" s="194" customFormat="1" ht="194.25" customHeight="1">
      <c r="A49" s="183">
        <v>40</v>
      </c>
      <c r="B49" s="198" t="s">
        <v>214</v>
      </c>
      <c r="C49" s="186" t="s">
        <v>269</v>
      </c>
      <c r="D49" s="200" t="s">
        <v>166</v>
      </c>
      <c r="E49" s="199" t="s">
        <v>8</v>
      </c>
      <c r="F49" s="205">
        <v>417</v>
      </c>
      <c r="G49" s="201">
        <v>76</v>
      </c>
      <c r="H49" s="207">
        <v>1</v>
      </c>
      <c r="I49" s="207">
        <v>1.0265</v>
      </c>
      <c r="J49" s="203">
        <v>105746</v>
      </c>
      <c r="K49" s="203">
        <v>108551</v>
      </c>
      <c r="L49" s="203">
        <v>0</v>
      </c>
      <c r="M49" s="191">
        <f t="shared" si="2"/>
        <v>-2805</v>
      </c>
      <c r="N49" s="199" t="s">
        <v>404</v>
      </c>
      <c r="O49" s="192">
        <v>22990000</v>
      </c>
      <c r="P49" s="312" t="s">
        <v>322</v>
      </c>
    </row>
    <row r="50" spans="1:18" s="194" customFormat="1" ht="77.25" customHeight="1">
      <c r="A50" s="183">
        <v>41</v>
      </c>
      <c r="B50" s="198" t="s">
        <v>37</v>
      </c>
      <c r="C50" s="186" t="s">
        <v>269</v>
      </c>
      <c r="D50" s="200" t="s">
        <v>166</v>
      </c>
      <c r="E50" s="199" t="s">
        <v>8</v>
      </c>
      <c r="F50" s="205">
        <v>364</v>
      </c>
      <c r="G50" s="201">
        <v>74</v>
      </c>
      <c r="H50" s="189">
        <v>1</v>
      </c>
      <c r="I50" s="207">
        <v>0.8538</v>
      </c>
      <c r="J50" s="191">
        <v>399935</v>
      </c>
      <c r="K50" s="191">
        <v>341463</v>
      </c>
      <c r="L50" s="191">
        <v>300</v>
      </c>
      <c r="M50" s="191">
        <f t="shared" si="2"/>
        <v>58172</v>
      </c>
      <c r="N50" s="261" t="s">
        <v>170</v>
      </c>
      <c r="O50" s="192">
        <v>539237000</v>
      </c>
      <c r="P50" s="209" t="s">
        <v>177</v>
      </c>
    </row>
    <row r="51" spans="1:18" s="194" customFormat="1" ht="77.25" customHeight="1">
      <c r="A51" s="183">
        <v>42</v>
      </c>
      <c r="B51" s="198" t="s">
        <v>54</v>
      </c>
      <c r="C51" s="186" t="s">
        <v>269</v>
      </c>
      <c r="D51" s="200" t="s">
        <v>166</v>
      </c>
      <c r="E51" s="199" t="s">
        <v>8</v>
      </c>
      <c r="F51" s="205">
        <v>362</v>
      </c>
      <c r="G51" s="220">
        <v>73</v>
      </c>
      <c r="H51" s="206">
        <v>1</v>
      </c>
      <c r="I51" s="189">
        <v>0.9052</v>
      </c>
      <c r="J51" s="191">
        <v>701672</v>
      </c>
      <c r="K51" s="191">
        <v>635155</v>
      </c>
      <c r="L51" s="191">
        <v>0</v>
      </c>
      <c r="M51" s="191">
        <f t="shared" si="2"/>
        <v>66517</v>
      </c>
      <c r="N51" s="200" t="s">
        <v>356</v>
      </c>
      <c r="O51" s="277">
        <v>17</v>
      </c>
      <c r="P51" s="204" t="s">
        <v>208</v>
      </c>
    </row>
    <row r="52" spans="1:18" s="194" customFormat="1" ht="77.25" customHeight="1">
      <c r="A52" s="183">
        <v>43</v>
      </c>
      <c r="B52" s="198" t="s">
        <v>212</v>
      </c>
      <c r="C52" s="186" t="s">
        <v>269</v>
      </c>
      <c r="D52" s="200" t="s">
        <v>166</v>
      </c>
      <c r="E52" s="199" t="s">
        <v>8</v>
      </c>
      <c r="F52" s="205">
        <v>354</v>
      </c>
      <c r="G52" s="201">
        <v>73</v>
      </c>
      <c r="H52" s="189">
        <v>1</v>
      </c>
      <c r="I52" s="189">
        <v>0.96389999999999998</v>
      </c>
      <c r="J52" s="191">
        <v>1069643</v>
      </c>
      <c r="K52" s="191">
        <v>1031030</v>
      </c>
      <c r="L52" s="191">
        <v>933</v>
      </c>
      <c r="M52" s="191">
        <f t="shared" si="2"/>
        <v>37680</v>
      </c>
      <c r="N52" s="262" t="s">
        <v>356</v>
      </c>
      <c r="O52" s="277">
        <v>11.2</v>
      </c>
      <c r="P52" s="204" t="s">
        <v>208</v>
      </c>
    </row>
    <row r="53" spans="1:18" s="194" customFormat="1" ht="77.25" customHeight="1">
      <c r="A53" s="183">
        <v>44</v>
      </c>
      <c r="B53" s="198" t="s">
        <v>60</v>
      </c>
      <c r="C53" s="186" t="s">
        <v>269</v>
      </c>
      <c r="D53" s="200" t="s">
        <v>166</v>
      </c>
      <c r="E53" s="199" t="s">
        <v>8</v>
      </c>
      <c r="F53" s="205">
        <v>365</v>
      </c>
      <c r="G53" s="220">
        <v>71.5</v>
      </c>
      <c r="H53" s="189">
        <v>1</v>
      </c>
      <c r="I53" s="189">
        <v>0.80620000000000003</v>
      </c>
      <c r="J53" s="191">
        <v>228803</v>
      </c>
      <c r="K53" s="191">
        <v>184468</v>
      </c>
      <c r="L53" s="191">
        <v>0</v>
      </c>
      <c r="M53" s="191">
        <f t="shared" si="2"/>
        <v>44335</v>
      </c>
      <c r="N53" s="218" t="s">
        <v>356</v>
      </c>
      <c r="O53" s="208" t="s">
        <v>175</v>
      </c>
      <c r="P53" s="204" t="s">
        <v>208</v>
      </c>
    </row>
    <row r="54" spans="1:18" s="194" customFormat="1" ht="77.25" customHeight="1">
      <c r="A54" s="183">
        <v>45</v>
      </c>
      <c r="B54" s="198" t="s">
        <v>63</v>
      </c>
      <c r="C54" s="186" t="s">
        <v>269</v>
      </c>
      <c r="D54" s="200" t="s">
        <v>166</v>
      </c>
      <c r="E54" s="199" t="s">
        <v>8</v>
      </c>
      <c r="F54" s="205">
        <v>395</v>
      </c>
      <c r="G54" s="201">
        <v>71</v>
      </c>
      <c r="H54" s="189">
        <v>1</v>
      </c>
      <c r="I54" s="189">
        <v>0.64029999999999998</v>
      </c>
      <c r="J54" s="191">
        <v>785961</v>
      </c>
      <c r="K54" s="191">
        <v>503257</v>
      </c>
      <c r="L54" s="191">
        <v>0</v>
      </c>
      <c r="M54" s="191">
        <f t="shared" si="2"/>
        <v>282704</v>
      </c>
      <c r="N54" s="314" t="s">
        <v>420</v>
      </c>
      <c r="O54" s="192">
        <v>45442</v>
      </c>
      <c r="P54" s="204" t="s">
        <v>459</v>
      </c>
    </row>
    <row r="55" spans="1:18" s="194" customFormat="1" ht="77.25" customHeight="1">
      <c r="A55" s="183">
        <v>46</v>
      </c>
      <c r="B55" s="198" t="s">
        <v>149</v>
      </c>
      <c r="C55" s="186" t="s">
        <v>269</v>
      </c>
      <c r="D55" s="200" t="s">
        <v>167</v>
      </c>
      <c r="E55" s="199" t="s">
        <v>8</v>
      </c>
      <c r="F55" s="205" t="s">
        <v>365</v>
      </c>
      <c r="G55" s="188">
        <v>68</v>
      </c>
      <c r="H55" s="303">
        <v>1</v>
      </c>
      <c r="I55" s="303">
        <v>1</v>
      </c>
      <c r="J55" s="190">
        <v>2035626</v>
      </c>
      <c r="K55" s="190">
        <v>2035626</v>
      </c>
      <c r="L55" s="190">
        <v>0</v>
      </c>
      <c r="M55" s="191">
        <f t="shared" si="2"/>
        <v>0</v>
      </c>
      <c r="N55" s="240">
        <v>2021</v>
      </c>
      <c r="O55" s="277">
        <v>3.62</v>
      </c>
      <c r="P55" s="242" t="s">
        <v>367</v>
      </c>
    </row>
    <row r="56" spans="1:18" s="194" customFormat="1" ht="77.25" customHeight="1">
      <c r="A56" s="183">
        <v>47</v>
      </c>
      <c r="B56" s="198" t="s">
        <v>163</v>
      </c>
      <c r="C56" s="186" t="s">
        <v>269</v>
      </c>
      <c r="D56" s="200" t="s">
        <v>166</v>
      </c>
      <c r="E56" s="199" t="s">
        <v>8</v>
      </c>
      <c r="F56" s="205">
        <v>413</v>
      </c>
      <c r="G56" s="201">
        <v>61</v>
      </c>
      <c r="H56" s="207">
        <v>1</v>
      </c>
      <c r="I56" s="207">
        <v>0.73340000000000005</v>
      </c>
      <c r="J56" s="191">
        <v>730162</v>
      </c>
      <c r="K56" s="191">
        <v>535521</v>
      </c>
      <c r="L56" s="191">
        <v>0</v>
      </c>
      <c r="M56" s="191">
        <f t="shared" si="2"/>
        <v>194641</v>
      </c>
      <c r="N56" s="200" t="s">
        <v>423</v>
      </c>
      <c r="O56" s="192">
        <v>75855760</v>
      </c>
      <c r="P56" s="257" t="s">
        <v>424</v>
      </c>
    </row>
    <row r="57" spans="1:18" s="194" customFormat="1" ht="192" customHeight="1">
      <c r="A57" s="183">
        <v>48</v>
      </c>
      <c r="B57" s="198" t="s">
        <v>58</v>
      </c>
      <c r="C57" s="186" t="s">
        <v>269</v>
      </c>
      <c r="D57" s="200" t="s">
        <v>166</v>
      </c>
      <c r="E57" s="199" t="s">
        <v>8</v>
      </c>
      <c r="F57" s="205">
        <v>416</v>
      </c>
      <c r="G57" s="201">
        <v>59.5</v>
      </c>
      <c r="H57" s="189">
        <v>1</v>
      </c>
      <c r="I57" s="207">
        <v>0.69589999999999996</v>
      </c>
      <c r="J57" s="191">
        <v>424873</v>
      </c>
      <c r="K57" s="191">
        <v>295664</v>
      </c>
      <c r="L57" s="191">
        <v>0</v>
      </c>
      <c r="M57" s="191">
        <f t="shared" si="2"/>
        <v>129209</v>
      </c>
      <c r="N57" s="200" t="s">
        <v>404</v>
      </c>
      <c r="O57" s="208" t="s">
        <v>175</v>
      </c>
      <c r="P57" s="257" t="s">
        <v>425</v>
      </c>
    </row>
    <row r="58" spans="1:18" s="194" customFormat="1" ht="77.25" customHeight="1" thickBot="1">
      <c r="A58" s="183">
        <v>49</v>
      </c>
      <c r="B58" s="198" t="s">
        <v>59</v>
      </c>
      <c r="C58" s="186" t="s">
        <v>269</v>
      </c>
      <c r="D58" s="200" t="s">
        <v>166</v>
      </c>
      <c r="E58" s="199" t="s">
        <v>8</v>
      </c>
      <c r="F58" s="205">
        <v>352</v>
      </c>
      <c r="G58" s="201">
        <v>58</v>
      </c>
      <c r="H58" s="202">
        <v>1</v>
      </c>
      <c r="I58" s="189">
        <v>0.93630000000000002</v>
      </c>
      <c r="J58" s="191">
        <v>161835</v>
      </c>
      <c r="K58" s="191">
        <v>151533</v>
      </c>
      <c r="L58" s="191">
        <v>0</v>
      </c>
      <c r="M58" s="191">
        <f t="shared" si="2"/>
        <v>10302</v>
      </c>
      <c r="N58" s="200" t="s">
        <v>427</v>
      </c>
      <c r="O58" s="208" t="s">
        <v>175</v>
      </c>
      <c r="P58" s="204" t="s">
        <v>208</v>
      </c>
    </row>
    <row r="59" spans="1:18" ht="16.5" thickBot="1">
      <c r="A59" s="410" t="s">
        <v>64</v>
      </c>
      <c r="B59" s="411"/>
      <c r="C59" s="156">
        <f>COUNT(A10:A58)</f>
        <v>49</v>
      </c>
      <c r="D59" s="156"/>
      <c r="E59" s="156"/>
      <c r="F59" s="156"/>
      <c r="G59" s="157"/>
      <c r="H59" s="157"/>
      <c r="I59" s="157"/>
      <c r="J59" s="158">
        <f>SUM(J10:J58)</f>
        <v>30724226</v>
      </c>
      <c r="K59" s="158">
        <f>SUM(K10:K58)</f>
        <v>26124211</v>
      </c>
      <c r="L59" s="158">
        <f>SUM(L10:L58)</f>
        <v>215467</v>
      </c>
      <c r="M59" s="158">
        <f>SUM(M10:M58)</f>
        <v>4384548</v>
      </c>
      <c r="N59" s="159"/>
      <c r="O59" s="160"/>
      <c r="P59" s="162"/>
    </row>
    <row r="60" spans="1:18">
      <c r="A60" s="136"/>
      <c r="B60" s="136"/>
      <c r="C60" s="44"/>
      <c r="D60" s="44"/>
      <c r="E60" s="31"/>
      <c r="F60" s="31"/>
      <c r="G60" s="45"/>
      <c r="H60" s="142"/>
      <c r="I60" s="47"/>
      <c r="J60" s="45"/>
      <c r="K60" s="45"/>
      <c r="L60" s="45"/>
      <c r="M60" s="45"/>
      <c r="N60" s="31"/>
      <c r="O60" s="46"/>
    </row>
    <row r="61" spans="1:18" s="19" customFormat="1" ht="102.75" customHeight="1">
      <c r="A61" s="48"/>
      <c r="B61" s="181"/>
      <c r="C61" s="179"/>
      <c r="D61" s="179"/>
      <c r="E61" s="179"/>
      <c r="F61" s="179"/>
      <c r="G61" s="108"/>
      <c r="H61" s="143"/>
      <c r="I61" s="49"/>
      <c r="J61" s="181"/>
      <c r="K61" s="181"/>
      <c r="L61" s="181"/>
      <c r="M61" s="181"/>
      <c r="N61" s="46"/>
      <c r="O61" s="181"/>
      <c r="P61" s="182"/>
      <c r="R61" s="29"/>
    </row>
    <row r="62" spans="1:18" s="3" customFormat="1" hidden="1">
      <c r="A62" s="33"/>
      <c r="B62" s="181"/>
      <c r="C62" s="52"/>
      <c r="D62" s="52"/>
      <c r="E62" s="53"/>
      <c r="F62" s="52"/>
      <c r="G62" s="87"/>
      <c r="H62" s="54"/>
      <c r="I62" s="50"/>
      <c r="J62" s="34"/>
      <c r="K62" s="34"/>
      <c r="L62" s="34"/>
      <c r="M62" s="55"/>
      <c r="N62" s="51"/>
      <c r="O62" s="50"/>
      <c r="P62" s="182"/>
      <c r="R62" s="20"/>
    </row>
    <row r="63" spans="1:18" s="3" customFormat="1" hidden="1">
      <c r="A63" s="52"/>
      <c r="B63" s="56"/>
      <c r="C63" s="57"/>
      <c r="D63" s="57"/>
      <c r="E63" s="53"/>
      <c r="F63" s="54"/>
      <c r="G63" s="87"/>
      <c r="H63" s="54"/>
      <c r="I63" s="54"/>
      <c r="J63" s="144"/>
      <c r="K63" s="136"/>
      <c r="L63" s="136"/>
      <c r="M63" s="58"/>
      <c r="N63" s="59"/>
      <c r="O63" s="60"/>
      <c r="P63" s="180"/>
      <c r="Q63" s="11"/>
      <c r="R63" s="21"/>
    </row>
    <row r="64" spans="1:18" s="3" customFormat="1" ht="16.5" hidden="1" thickBot="1">
      <c r="A64" s="52"/>
      <c r="B64" s="56"/>
      <c r="C64" s="57"/>
      <c r="D64" s="57"/>
      <c r="E64" s="53"/>
      <c r="F64" s="54"/>
      <c r="G64" s="87"/>
      <c r="H64" s="54"/>
      <c r="I64" s="54"/>
      <c r="J64" s="144"/>
      <c r="K64" s="136"/>
      <c r="L64" s="136"/>
      <c r="M64" s="61"/>
      <c r="N64" s="62"/>
      <c r="O64" s="63"/>
      <c r="P64" s="180"/>
      <c r="Q64" s="11"/>
      <c r="R64" s="21"/>
    </row>
    <row r="65" spans="1:24" s="3" customFormat="1" ht="15" hidden="1" customHeight="1">
      <c r="A65" s="52"/>
      <c r="B65" s="56" t="s">
        <v>73</v>
      </c>
      <c r="C65" s="52"/>
      <c r="D65" s="52"/>
      <c r="E65" s="136" t="s">
        <v>90</v>
      </c>
      <c r="F65" s="136" t="s">
        <v>70</v>
      </c>
      <c r="G65" s="86" t="s">
        <v>71</v>
      </c>
      <c r="H65" s="64" t="s">
        <v>72</v>
      </c>
      <c r="I65" s="65" t="s">
        <v>85</v>
      </c>
      <c r="J65" s="145" t="s">
        <v>74</v>
      </c>
      <c r="K65" s="146"/>
      <c r="L65" s="146"/>
      <c r="M65" s="55"/>
      <c r="N65" s="66" t="s">
        <v>88</v>
      </c>
      <c r="O65" s="67" t="s">
        <v>89</v>
      </c>
      <c r="P65" s="180" t="s">
        <v>98</v>
      </c>
      <c r="Q65" s="10" t="s">
        <v>99</v>
      </c>
      <c r="R65" s="22" t="s">
        <v>100</v>
      </c>
      <c r="S65" s="4" t="s">
        <v>101</v>
      </c>
      <c r="T65" s="4" t="s">
        <v>102</v>
      </c>
      <c r="U65" s="4" t="s">
        <v>103</v>
      </c>
      <c r="V65" s="3" t="s">
        <v>104</v>
      </c>
      <c r="W65" s="3" t="s">
        <v>105</v>
      </c>
      <c r="X65" s="3" t="s">
        <v>127</v>
      </c>
    </row>
    <row r="66" spans="1:24" s="3" customFormat="1" ht="15" hidden="1" customHeight="1">
      <c r="A66" s="68">
        <v>1</v>
      </c>
      <c r="B66" s="110" t="s">
        <v>435</v>
      </c>
      <c r="C66" s="32" t="s">
        <v>269</v>
      </c>
      <c r="D66" s="32">
        <f>COUNTIF($C$10:$C$58,"MTI")</f>
        <v>48</v>
      </c>
      <c r="E66" s="69">
        <f>D66/D75</f>
        <v>0.96</v>
      </c>
      <c r="F66" s="70">
        <f>COUNTIFS($C$10:$C$58,"MTI",$H$10:$H$58,"0,00%")</f>
        <v>0</v>
      </c>
      <c r="G66" s="166">
        <f>COUNTIFS($C$10:$C$58,"MTI",$H$10:$H$58,"&gt;0,00%")-COUNTIFS($C$10:$C$58,"MTI",$H$10:$H$58,"100,00%")</f>
        <v>0</v>
      </c>
      <c r="H66" s="147">
        <f>COUNTIFS($C$10:$C$60,"MTI",$H$10:$H$60,"100,00%")</f>
        <v>0</v>
      </c>
      <c r="I66" s="130">
        <f>D66-F66-G66-H66</f>
        <v>48</v>
      </c>
      <c r="J66" s="148">
        <f t="shared" ref="J66:J74" si="3">F66+G66</f>
        <v>0</v>
      </c>
      <c r="K66" s="149"/>
      <c r="L66" s="149"/>
      <c r="M66" s="71" t="s">
        <v>269</v>
      </c>
      <c r="N66" s="174">
        <f t="shared" ref="N66:N74" si="4">SUMIF($C$10:$C$58,$C66,J$10:J$58)</f>
        <v>30490688</v>
      </c>
      <c r="O66" s="167">
        <f t="shared" ref="O66:O74" si="5">SUMIF($C$10:$C$58,$C66,M$10:M$58)</f>
        <v>4282965</v>
      </c>
      <c r="P66" s="168">
        <f t="shared" ref="P66:P72" si="6">I79+C79</f>
        <v>30490688</v>
      </c>
      <c r="Q66" s="11">
        <f t="shared" ref="Q66:Q72" si="7">E79</f>
        <v>0</v>
      </c>
      <c r="R66" s="23">
        <f t="shared" ref="R66:R72" si="8">I92</f>
        <v>4282965</v>
      </c>
      <c r="S66" s="9">
        <f t="shared" ref="S66:S72" si="9">E92</f>
        <v>0</v>
      </c>
      <c r="T66" s="9">
        <f>N66-P66-Q66</f>
        <v>0</v>
      </c>
      <c r="U66" s="9">
        <f>O66-R66-S66</f>
        <v>0</v>
      </c>
      <c r="V66" s="9">
        <f>J66</f>
        <v>0</v>
      </c>
      <c r="W66" s="9">
        <f t="shared" ref="W66:W75" si="10">H66</f>
        <v>0</v>
      </c>
      <c r="X66" s="9">
        <f>V66+W66</f>
        <v>0</v>
      </c>
    </row>
    <row r="67" spans="1:24" s="3" customFormat="1" ht="15" hidden="1" customHeight="1">
      <c r="A67" s="68">
        <v>2</v>
      </c>
      <c r="B67" s="43" t="s">
        <v>65</v>
      </c>
      <c r="C67" s="32" t="s">
        <v>9</v>
      </c>
      <c r="D67" s="32">
        <f>COUNTIF($C$10:$C$58,"MS")</f>
        <v>0</v>
      </c>
      <c r="E67" s="69">
        <f>D67/D75</f>
        <v>0</v>
      </c>
      <c r="F67" s="70">
        <f>COUNTIFS($C$10:$C$60,"MS",$H$10:$H$60,"0,00%")</f>
        <v>0</v>
      </c>
      <c r="G67" s="131">
        <f>COUNTIFS($C$11:$C$58,"MS",$H$11:$H$58,"&gt;0,00%")-COUNTIFS($C$11:$C$58,"MS",$H$11:$H$58,"100,00%")</f>
        <v>0</v>
      </c>
      <c r="H67" s="147">
        <f>COUNTIFS($C$11:$C$58,"MS",$H$11:$H$58,"100,00%")</f>
        <v>0</v>
      </c>
      <c r="I67" s="130">
        <f t="shared" ref="I67:I74" si="11">D67-F67-G67-H67</f>
        <v>0</v>
      </c>
      <c r="J67" s="148">
        <f t="shared" si="3"/>
        <v>0</v>
      </c>
      <c r="K67" s="149"/>
      <c r="L67" s="149"/>
      <c r="M67" s="71" t="s">
        <v>9</v>
      </c>
      <c r="N67" s="174">
        <f t="shared" si="4"/>
        <v>0</v>
      </c>
      <c r="O67" s="167">
        <f t="shared" si="5"/>
        <v>0</v>
      </c>
      <c r="P67" s="168">
        <f t="shared" si="6"/>
        <v>0</v>
      </c>
      <c r="Q67" s="11">
        <f t="shared" si="7"/>
        <v>0</v>
      </c>
      <c r="R67" s="23">
        <f t="shared" si="8"/>
        <v>0</v>
      </c>
      <c r="S67" s="9">
        <f t="shared" si="9"/>
        <v>0</v>
      </c>
      <c r="T67" s="9">
        <f t="shared" ref="T67:T74" si="12">N67-P67-Q67</f>
        <v>0</v>
      </c>
      <c r="U67" s="9">
        <f t="shared" ref="U67:U74" si="13">O67-R67-S67</f>
        <v>0</v>
      </c>
      <c r="V67" s="9">
        <f t="shared" ref="V67:V75" si="14">J67</f>
        <v>0</v>
      </c>
      <c r="W67" s="9">
        <f t="shared" si="10"/>
        <v>0</v>
      </c>
      <c r="X67" s="9">
        <f t="shared" ref="X67:X75" si="15">V67+W67</f>
        <v>0</v>
      </c>
    </row>
    <row r="68" spans="1:24" s="3" customFormat="1" ht="15" hidden="1" customHeight="1">
      <c r="A68" s="68">
        <v>3</v>
      </c>
      <c r="B68" s="43" t="s">
        <v>66</v>
      </c>
      <c r="C68" s="32" t="s">
        <v>28</v>
      </c>
      <c r="D68" s="32">
        <f>COUNTIF($C$10:$C$58,"MJ")</f>
        <v>0</v>
      </c>
      <c r="E68" s="69">
        <f>D68/D75</f>
        <v>0</v>
      </c>
      <c r="F68" s="70">
        <f>COUNTIFS($C$11:$C$58,"MJ",$H$11:$H$58,"0,00%")</f>
        <v>0</v>
      </c>
      <c r="G68" s="131">
        <f>COUNTIFS($C$11:$C$58,"MJ",$H$11:$H$58,"&gt;0,00%")-COUNTIFS($C$11:$C$58,"MJ",$H$11:$H$58,"100,00%")</f>
        <v>0</v>
      </c>
      <c r="H68" s="147">
        <f>COUNTIFS($C$11:$C$58,"MJ",$H$11:$H$58,"100,00%")</f>
        <v>0</v>
      </c>
      <c r="I68" s="130">
        <f t="shared" si="11"/>
        <v>0</v>
      </c>
      <c r="J68" s="148">
        <f t="shared" si="3"/>
        <v>0</v>
      </c>
      <c r="K68" s="149"/>
      <c r="L68" s="149"/>
      <c r="M68" s="71" t="s">
        <v>28</v>
      </c>
      <c r="N68" s="174">
        <f t="shared" si="4"/>
        <v>0</v>
      </c>
      <c r="O68" s="167">
        <f t="shared" si="5"/>
        <v>0</v>
      </c>
      <c r="P68" s="168">
        <f t="shared" si="6"/>
        <v>0</v>
      </c>
      <c r="Q68" s="11">
        <f t="shared" si="7"/>
        <v>0</v>
      </c>
      <c r="R68" s="23">
        <f t="shared" si="8"/>
        <v>0</v>
      </c>
      <c r="S68" s="9">
        <f t="shared" si="9"/>
        <v>0</v>
      </c>
      <c r="T68" s="9">
        <f t="shared" si="12"/>
        <v>0</v>
      </c>
      <c r="U68" s="9">
        <f t="shared" si="13"/>
        <v>0</v>
      </c>
      <c r="V68" s="9">
        <f t="shared" si="14"/>
        <v>0</v>
      </c>
      <c r="W68" s="9">
        <f t="shared" si="10"/>
        <v>0</v>
      </c>
      <c r="X68" s="9">
        <f t="shared" si="15"/>
        <v>0</v>
      </c>
    </row>
    <row r="69" spans="1:24" s="3" customFormat="1" ht="15" hidden="1" customHeight="1">
      <c r="A69" s="68">
        <v>4</v>
      </c>
      <c r="B69" s="109" t="s">
        <v>436</v>
      </c>
      <c r="C69" s="107" t="s">
        <v>270</v>
      </c>
      <c r="D69" s="32">
        <f>COUNTIF($C$10:$C$58,"MDLPA")</f>
        <v>0</v>
      </c>
      <c r="E69" s="69">
        <f>D69/D75</f>
        <v>0</v>
      </c>
      <c r="F69" s="70">
        <f>COUNTIFS($C$11:$C$58,"MDLPA",$H$11:$H$58,"0,00%")</f>
        <v>0</v>
      </c>
      <c r="G69" s="131">
        <f>COUNTIFS($C$11:$C$58,"MDLPA",$H$11:$H$58,"&gt;0,00%")-COUNTIFS($C$11:$C$58,"MDLPA",$H$11:$H$58,"100,00%")</f>
        <v>0</v>
      </c>
      <c r="H69" s="147">
        <f>COUNTIFS($C$11:$C$58,"MDLPA",$H$11:$H$58,"100,00%")</f>
        <v>0</v>
      </c>
      <c r="I69" s="130">
        <f t="shared" si="11"/>
        <v>0</v>
      </c>
      <c r="J69" s="148">
        <f t="shared" si="3"/>
        <v>0</v>
      </c>
      <c r="K69" s="149"/>
      <c r="L69" s="149"/>
      <c r="M69" s="107" t="s">
        <v>270</v>
      </c>
      <c r="N69" s="174">
        <f t="shared" si="4"/>
        <v>0</v>
      </c>
      <c r="O69" s="167">
        <f t="shared" si="5"/>
        <v>0</v>
      </c>
      <c r="P69" s="168">
        <f t="shared" si="6"/>
        <v>0</v>
      </c>
      <c r="Q69" s="11">
        <f t="shared" si="7"/>
        <v>0</v>
      </c>
      <c r="R69" s="23">
        <f t="shared" si="8"/>
        <v>0</v>
      </c>
      <c r="S69" s="9">
        <f t="shared" si="9"/>
        <v>0</v>
      </c>
      <c r="T69" s="9">
        <f t="shared" si="12"/>
        <v>0</v>
      </c>
      <c r="U69" s="9">
        <f t="shared" si="13"/>
        <v>0</v>
      </c>
      <c r="V69" s="9">
        <f t="shared" si="14"/>
        <v>0</v>
      </c>
      <c r="W69" s="9">
        <f t="shared" si="10"/>
        <v>0</v>
      </c>
      <c r="X69" s="9">
        <f t="shared" si="15"/>
        <v>0</v>
      </c>
    </row>
    <row r="70" spans="1:24" s="3" customFormat="1" ht="15" hidden="1" customHeight="1">
      <c r="A70" s="68">
        <v>5</v>
      </c>
      <c r="B70" s="43" t="s">
        <v>235</v>
      </c>
      <c r="C70" s="30" t="s">
        <v>232</v>
      </c>
      <c r="D70" s="32">
        <f>COUNTIF($C$10:$C$58,"MMAP")</f>
        <v>1</v>
      </c>
      <c r="E70" s="69">
        <f>D70/D75</f>
        <v>0.02</v>
      </c>
      <c r="F70" s="70">
        <f>COUNTIFS($C$10:$C$58,"MMAP",$H$10:$H$58,"0,00%")</f>
        <v>0</v>
      </c>
      <c r="G70" s="131">
        <f>COUNTIFS($C$10:$C$58,"MMAP",$H$10:$H$58,"&gt;0,00%")-COUNTIFS($C$10:$C$58,"MMAP",$H$10:$H$58,"100,00%")</f>
        <v>0</v>
      </c>
      <c r="H70" s="147">
        <f>COUNTIFS($C$11:$C$58,"MMAP",$H$11:$H$58,"100,00%")</f>
        <v>0</v>
      </c>
      <c r="I70" s="130">
        <f t="shared" si="11"/>
        <v>1</v>
      </c>
      <c r="J70" s="148">
        <f t="shared" si="3"/>
        <v>0</v>
      </c>
      <c r="K70" s="149"/>
      <c r="L70" s="149"/>
      <c r="M70" s="74" t="s">
        <v>232</v>
      </c>
      <c r="N70" s="174">
        <f t="shared" si="4"/>
        <v>233538</v>
      </c>
      <c r="O70" s="167">
        <f t="shared" si="5"/>
        <v>101583</v>
      </c>
      <c r="P70" s="168">
        <f t="shared" si="6"/>
        <v>233538</v>
      </c>
      <c r="Q70" s="11">
        <f t="shared" si="7"/>
        <v>0</v>
      </c>
      <c r="R70" s="23">
        <f t="shared" si="8"/>
        <v>101583</v>
      </c>
      <c r="S70" s="9">
        <f t="shared" si="9"/>
        <v>0</v>
      </c>
      <c r="T70" s="9">
        <f t="shared" si="12"/>
        <v>0</v>
      </c>
      <c r="U70" s="9">
        <f t="shared" si="13"/>
        <v>0</v>
      </c>
      <c r="V70" s="9">
        <f t="shared" si="14"/>
        <v>0</v>
      </c>
      <c r="W70" s="9">
        <f t="shared" si="10"/>
        <v>0</v>
      </c>
      <c r="X70" s="9">
        <f t="shared" si="15"/>
        <v>0</v>
      </c>
    </row>
    <row r="71" spans="1:24" s="3" customFormat="1" ht="15" hidden="1" customHeight="1">
      <c r="A71" s="68">
        <v>6</v>
      </c>
      <c r="B71" s="43" t="s">
        <v>433</v>
      </c>
      <c r="C71" s="140" t="s">
        <v>432</v>
      </c>
      <c r="D71" s="32">
        <f>COUNTIF($C$10:$C$58,"MEEMA")</f>
        <v>0</v>
      </c>
      <c r="E71" s="69">
        <f>D71/D75</f>
        <v>0</v>
      </c>
      <c r="F71" s="70">
        <f>COUNTIFS($C$11:$C$58,"ME",$H$11:$H$58,"0,00%")</f>
        <v>0</v>
      </c>
      <c r="G71" s="131">
        <f>COUNTIFS($C$11:$C$58,"ME",$H$11:$H$58,"&gt;0,00%")-COUNTIFS($C$11:$C$58,"ME",$H$11:$H$58,"100,00%")</f>
        <v>0</v>
      </c>
      <c r="H71" s="147">
        <f>COUNTIFS($C$11:$C$58,"ME",$H$11:$H$58,"100,00%")</f>
        <v>0</v>
      </c>
      <c r="I71" s="130">
        <f t="shared" si="11"/>
        <v>0</v>
      </c>
      <c r="J71" s="148">
        <f t="shared" si="3"/>
        <v>0</v>
      </c>
      <c r="K71" s="149"/>
      <c r="L71" s="149"/>
      <c r="M71" s="71" t="s">
        <v>432</v>
      </c>
      <c r="N71" s="174">
        <f t="shared" si="4"/>
        <v>0</v>
      </c>
      <c r="O71" s="167">
        <f t="shared" si="5"/>
        <v>0</v>
      </c>
      <c r="P71" s="168">
        <f t="shared" si="6"/>
        <v>0</v>
      </c>
      <c r="Q71" s="11">
        <f t="shared" si="7"/>
        <v>0</v>
      </c>
      <c r="R71" s="23">
        <f t="shared" si="8"/>
        <v>0</v>
      </c>
      <c r="S71" s="9">
        <f t="shared" si="9"/>
        <v>0</v>
      </c>
      <c r="T71" s="9">
        <f t="shared" si="12"/>
        <v>0</v>
      </c>
      <c r="U71" s="9">
        <f t="shared" si="13"/>
        <v>0</v>
      </c>
      <c r="V71" s="9">
        <f t="shared" si="14"/>
        <v>0</v>
      </c>
      <c r="W71" s="9">
        <f t="shared" si="10"/>
        <v>0</v>
      </c>
      <c r="X71" s="9">
        <f t="shared" si="15"/>
        <v>0</v>
      </c>
    </row>
    <row r="72" spans="1:24" s="3" customFormat="1" ht="15" hidden="1" customHeight="1">
      <c r="A72" s="68">
        <v>7</v>
      </c>
      <c r="B72" s="43" t="s">
        <v>434</v>
      </c>
      <c r="C72" s="32" t="s">
        <v>275</v>
      </c>
      <c r="D72" s="32">
        <f>COUNTIF($C$10:$C$58,"MCID")</f>
        <v>0</v>
      </c>
      <c r="E72" s="69">
        <f>D72/D75</f>
        <v>0</v>
      </c>
      <c r="F72" s="70">
        <f>COUNTIFS($C$10:$C$58,"MCID",$H$10:$H$58,"0,00%")</f>
        <v>0</v>
      </c>
      <c r="G72" s="131">
        <f>COUNTIFS($C$10:$C$58,"MCID",$H$10:$H$58,"&gt;0,00%")-COUNTIFS($C$10:$C$58,"MCID",$H$10:$H$58,"100,00%")</f>
        <v>0</v>
      </c>
      <c r="H72" s="147">
        <f>COUNTIFS($C$11:$C$58,"MCID",$H$11:$H$58,"100,00%")</f>
        <v>0</v>
      </c>
      <c r="I72" s="130">
        <f t="shared" si="11"/>
        <v>0</v>
      </c>
      <c r="J72" s="148">
        <f t="shared" si="3"/>
        <v>0</v>
      </c>
      <c r="K72" s="149"/>
      <c r="L72" s="149"/>
      <c r="M72" s="71" t="s">
        <v>275</v>
      </c>
      <c r="N72" s="174">
        <f t="shared" si="4"/>
        <v>0</v>
      </c>
      <c r="O72" s="167">
        <f t="shared" si="5"/>
        <v>0</v>
      </c>
      <c r="P72" s="168">
        <f t="shared" si="6"/>
        <v>0</v>
      </c>
      <c r="Q72" s="11">
        <f t="shared" si="7"/>
        <v>0</v>
      </c>
      <c r="R72" s="23">
        <f t="shared" si="8"/>
        <v>0</v>
      </c>
      <c r="S72" s="9">
        <f t="shared" si="9"/>
        <v>0</v>
      </c>
      <c r="T72" s="9">
        <f t="shared" si="12"/>
        <v>0</v>
      </c>
      <c r="U72" s="9">
        <f t="shared" si="13"/>
        <v>0</v>
      </c>
      <c r="V72" s="9">
        <f t="shared" si="14"/>
        <v>0</v>
      </c>
      <c r="W72" s="9">
        <f t="shared" si="10"/>
        <v>0</v>
      </c>
      <c r="X72" s="9">
        <f t="shared" si="15"/>
        <v>0</v>
      </c>
    </row>
    <row r="73" spans="1:24" s="3" customFormat="1" ht="15" hidden="1" customHeight="1">
      <c r="A73" s="68">
        <v>8</v>
      </c>
      <c r="B73" s="43" t="s">
        <v>247</v>
      </c>
      <c r="C73" s="32" t="s">
        <v>247</v>
      </c>
      <c r="D73" s="32">
        <v>1</v>
      </c>
      <c r="E73" s="69">
        <f>D73/D75</f>
        <v>0.02</v>
      </c>
      <c r="F73" s="70">
        <f>COUNTIFS($C$10:$C$58,"SPP",$H$10:$H$58,"0,00%")</f>
        <v>0</v>
      </c>
      <c r="G73" s="131">
        <f>COUNTIFS($C$10:$C$58,"SPP",$H$10:$H$58,"&gt;0,00%")-COUNTIFS($C$10:$C$58,"SPP",$H$10:$H$58,"100,00%")</f>
        <v>0</v>
      </c>
      <c r="H73" s="147">
        <f>COUNTIFS($C$10:$C$58,"SPP",$H$10:$H$58,"100,00%")</f>
        <v>0</v>
      </c>
      <c r="I73" s="130">
        <f t="shared" si="11"/>
        <v>1</v>
      </c>
      <c r="J73" s="148">
        <f t="shared" si="3"/>
        <v>0</v>
      </c>
      <c r="K73" s="149"/>
      <c r="L73" s="149"/>
      <c r="M73" s="71" t="s">
        <v>247</v>
      </c>
      <c r="N73" s="174">
        <f t="shared" si="4"/>
        <v>0</v>
      </c>
      <c r="O73" s="167">
        <f t="shared" si="5"/>
        <v>0</v>
      </c>
      <c r="P73" s="168">
        <f>I87+C87</f>
        <v>0</v>
      </c>
      <c r="Q73" s="11">
        <f>E87</f>
        <v>0</v>
      </c>
      <c r="R73" s="23">
        <f>I100</f>
        <v>0</v>
      </c>
      <c r="S73" s="9">
        <f>E100</f>
        <v>0</v>
      </c>
      <c r="T73" s="9">
        <f t="shared" si="12"/>
        <v>0</v>
      </c>
      <c r="U73" s="9">
        <f t="shared" si="13"/>
        <v>0</v>
      </c>
      <c r="V73" s="9">
        <f t="shared" si="14"/>
        <v>0</v>
      </c>
      <c r="W73" s="9">
        <f t="shared" si="10"/>
        <v>0</v>
      </c>
      <c r="X73" s="9">
        <f t="shared" si="15"/>
        <v>0</v>
      </c>
    </row>
    <row r="74" spans="1:24" s="3" customFormat="1" ht="15" hidden="1" customHeight="1">
      <c r="A74" s="68">
        <v>9</v>
      </c>
      <c r="B74" s="43" t="s">
        <v>75</v>
      </c>
      <c r="C74" s="32" t="s">
        <v>76</v>
      </c>
      <c r="D74" s="32">
        <f>COUNTIF($C$10:$C$58,"MApN")</f>
        <v>0</v>
      </c>
      <c r="E74" s="69">
        <f>D74/D75</f>
        <v>0</v>
      </c>
      <c r="F74" s="70">
        <f>COUNTIFS($C$10:$C$58,"MApN",$H$10:$H$58,"0,00%")</f>
        <v>0</v>
      </c>
      <c r="G74" s="131">
        <f>COUNTIFS($C$11:$C$58,"MApN",$H$11:$H$58,"&gt;0,00%")-COUNTIFS($C$11:$C$58,"MApN",$H$11:$H$58,"100,00%")</f>
        <v>0</v>
      </c>
      <c r="H74" s="147">
        <f>COUNTIFS($C$10:$C$58,"MApN",$H$10:$H$58,"100,00%")</f>
        <v>0</v>
      </c>
      <c r="I74" s="130">
        <f t="shared" si="11"/>
        <v>0</v>
      </c>
      <c r="J74" s="148">
        <f t="shared" si="3"/>
        <v>0</v>
      </c>
      <c r="K74" s="149"/>
      <c r="L74" s="149"/>
      <c r="M74" s="71" t="str">
        <f>C74</f>
        <v>MApN</v>
      </c>
      <c r="N74" s="174">
        <f t="shared" si="4"/>
        <v>0</v>
      </c>
      <c r="O74" s="167">
        <f t="shared" si="5"/>
        <v>0</v>
      </c>
      <c r="P74" s="168">
        <f>I87+C87</f>
        <v>0</v>
      </c>
      <c r="Q74" s="11">
        <f>E87</f>
        <v>0</v>
      </c>
      <c r="R74" s="23">
        <f>I100</f>
        <v>0</v>
      </c>
      <c r="S74" s="9">
        <f>E100</f>
        <v>0</v>
      </c>
      <c r="T74" s="9">
        <f t="shared" si="12"/>
        <v>0</v>
      </c>
      <c r="U74" s="9">
        <f t="shared" si="13"/>
        <v>0</v>
      </c>
      <c r="V74" s="9">
        <f t="shared" si="14"/>
        <v>0</v>
      </c>
      <c r="W74" s="9">
        <f t="shared" si="10"/>
        <v>0</v>
      </c>
      <c r="X74" s="9">
        <f t="shared" si="15"/>
        <v>0</v>
      </c>
    </row>
    <row r="75" spans="1:24" s="3" customFormat="1" ht="15" hidden="1" customHeight="1" thickBot="1">
      <c r="A75" s="52"/>
      <c r="B75" s="179"/>
      <c r="C75" s="52"/>
      <c r="D75" s="117">
        <f>SUM(D66:D74)</f>
        <v>50</v>
      </c>
      <c r="E75" s="75">
        <f>SUM(E66:E74)</f>
        <v>1</v>
      </c>
      <c r="F75" s="129">
        <f>SUM(F66:F74)</f>
        <v>0</v>
      </c>
      <c r="G75" s="132">
        <f>SUM(G66:G74)</f>
        <v>0</v>
      </c>
      <c r="H75" s="129">
        <f>SUM(H66:H74)</f>
        <v>0</v>
      </c>
      <c r="I75" s="73"/>
      <c r="J75" s="148">
        <f>SUM(J66:J74)</f>
        <v>0</v>
      </c>
      <c r="K75" s="150"/>
      <c r="L75" s="150"/>
      <c r="M75" s="76"/>
      <c r="N75" s="169">
        <f>SUM(N66:N74)</f>
        <v>30724226</v>
      </c>
      <c r="O75" s="170">
        <f>SUM(O66:O74)</f>
        <v>4384548</v>
      </c>
      <c r="P75" s="168">
        <f>I88+C88</f>
        <v>30724226</v>
      </c>
      <c r="Q75" s="11">
        <f>E88</f>
        <v>0</v>
      </c>
      <c r="R75" s="23">
        <f>I101</f>
        <v>4384548</v>
      </c>
      <c r="S75" s="9">
        <f>E101</f>
        <v>0</v>
      </c>
      <c r="T75" s="9">
        <f>N75-P75-Q75</f>
        <v>0</v>
      </c>
      <c r="U75" s="9">
        <f>O75-R75-S75</f>
        <v>0</v>
      </c>
      <c r="V75" s="9">
        <f t="shared" si="14"/>
        <v>0</v>
      </c>
      <c r="W75" s="9">
        <f t="shared" si="10"/>
        <v>0</v>
      </c>
      <c r="X75" s="9">
        <f t="shared" si="15"/>
        <v>0</v>
      </c>
    </row>
    <row r="76" spans="1:24" s="3" customFormat="1" ht="15" hidden="1" customHeight="1">
      <c r="A76" s="33"/>
      <c r="B76" s="181"/>
      <c r="C76" s="52"/>
      <c r="D76" s="52"/>
      <c r="E76" s="54">
        <f>F75+G75+H75</f>
        <v>0</v>
      </c>
      <c r="F76" s="54"/>
      <c r="G76" s="87"/>
      <c r="H76" s="54"/>
      <c r="I76" s="50"/>
      <c r="J76" s="51"/>
      <c r="K76" s="51"/>
      <c r="L76" s="51"/>
      <c r="M76" s="34" t="s">
        <v>95</v>
      </c>
      <c r="N76" s="77">
        <f>J59-N75</f>
        <v>0</v>
      </c>
      <c r="O76" s="78">
        <f>M59-O75</f>
        <v>0</v>
      </c>
      <c r="P76" s="412">
        <f>P75+Q75</f>
        <v>30724226</v>
      </c>
      <c r="Q76" s="413"/>
      <c r="R76" s="414">
        <f>R75+S75</f>
        <v>4384548</v>
      </c>
      <c r="S76" s="414"/>
    </row>
    <row r="77" spans="1:24" s="3" customFormat="1" ht="15" hidden="1" customHeight="1" thickBot="1">
      <c r="A77" s="33"/>
      <c r="B77" s="181"/>
      <c r="C77" s="52"/>
      <c r="D77" s="52"/>
      <c r="E77" s="54"/>
      <c r="F77" s="54"/>
      <c r="G77" s="87"/>
      <c r="H77" s="54"/>
      <c r="I77" s="50"/>
      <c r="J77" s="51"/>
      <c r="K77" s="51"/>
      <c r="L77" s="51"/>
      <c r="M77" s="53"/>
      <c r="N77" s="164" t="s">
        <v>96</v>
      </c>
      <c r="O77" s="164" t="s">
        <v>97</v>
      </c>
      <c r="P77" s="176"/>
      <c r="Q77" s="177"/>
      <c r="R77" s="178"/>
      <c r="S77" s="178"/>
    </row>
    <row r="78" spans="1:24" s="3" customFormat="1" ht="15" hidden="1" customHeight="1" thickBot="1">
      <c r="A78" s="33"/>
      <c r="B78" s="56" t="s">
        <v>83</v>
      </c>
      <c r="C78" s="79" t="s">
        <v>86</v>
      </c>
      <c r="D78" s="80"/>
      <c r="E78" s="119" t="s">
        <v>87</v>
      </c>
      <c r="F78" s="133" t="s">
        <v>237</v>
      </c>
      <c r="G78" s="64" t="s">
        <v>84</v>
      </c>
      <c r="H78" s="151" t="s">
        <v>91</v>
      </c>
      <c r="I78" s="123" t="s">
        <v>236</v>
      </c>
      <c r="J78" s="152"/>
      <c r="K78" s="152"/>
      <c r="L78" s="152"/>
      <c r="M78" s="53"/>
      <c r="N78" s="165"/>
      <c r="O78" s="165"/>
      <c r="P78" s="182"/>
      <c r="R78" s="20"/>
    </row>
    <row r="79" spans="1:24" s="3" customFormat="1" ht="15" hidden="1" customHeight="1" thickBot="1">
      <c r="A79" s="33"/>
      <c r="B79" s="81" t="s">
        <v>269</v>
      </c>
      <c r="C79" s="72">
        <f>SUMIFS($J$10:$J$60,$C$10:$C$60,"MTI",$H$10:$H$60,"0,00%")</f>
        <v>0</v>
      </c>
      <c r="D79" s="72"/>
      <c r="E79" s="120">
        <f>SUMIFS($J$10:$J$58,$C$10:$C$58,"MTI",$H$10:$H$58,"100,00%")</f>
        <v>0</v>
      </c>
      <c r="F79" s="134">
        <f t="shared" ref="F79:F87" si="16">C79+E79</f>
        <v>0</v>
      </c>
      <c r="G79" s="118">
        <f t="shared" ref="G79:G87" si="17">N66</f>
        <v>30490688</v>
      </c>
      <c r="H79" s="153">
        <f>G79-F79-I79</f>
        <v>0</v>
      </c>
      <c r="I79" s="123">
        <f>G79-F79</f>
        <v>30490688</v>
      </c>
      <c r="J79" s="152"/>
      <c r="K79" s="152"/>
      <c r="L79" s="152"/>
      <c r="M79" s="111" t="s">
        <v>269</v>
      </c>
      <c r="N79" s="83">
        <f t="shared" ref="N79:N84" si="18">N66/$N$75</f>
        <v>0.99239889720899721</v>
      </c>
      <c r="O79" s="83">
        <f t="shared" ref="O79:O87" si="19">O66/$O$75</f>
        <v>0.97683159130656116</v>
      </c>
      <c r="P79" s="182"/>
      <c r="Q79" s="415" t="s">
        <v>114</v>
      </c>
      <c r="R79" s="416"/>
      <c r="S79" s="417"/>
      <c r="T79" s="8" t="e">
        <f>T81+T87+T91+T96+T102+T107</f>
        <v>#REF!</v>
      </c>
    </row>
    <row r="80" spans="1:24" s="3" customFormat="1" ht="15" hidden="1" customHeight="1" thickBot="1">
      <c r="A80" s="33"/>
      <c r="B80" s="71" t="s">
        <v>9</v>
      </c>
      <c r="C80" s="72">
        <f>SUMIFS($J$10:$J$58,$C$10:$C$58,"MS",$H$10:$H$58,"0,00%")</f>
        <v>0</v>
      </c>
      <c r="D80" s="72"/>
      <c r="E80" s="120">
        <f>SUMIFS($J$10:$J$58,$C$10:$C$58,"MS",$H$10:$H$58,"100,00%")</f>
        <v>0</v>
      </c>
      <c r="F80" s="134">
        <f t="shared" si="16"/>
        <v>0</v>
      </c>
      <c r="G80" s="118">
        <f t="shared" si="17"/>
        <v>0</v>
      </c>
      <c r="H80" s="153">
        <f t="shared" ref="H80:H86" si="20">G80-F80-I80</f>
        <v>0</v>
      </c>
      <c r="I80" s="123">
        <f t="shared" ref="I80:I86" si="21">G80-F80</f>
        <v>0</v>
      </c>
      <c r="J80" s="154"/>
      <c r="K80" s="154"/>
      <c r="L80" s="154"/>
      <c r="M80" s="112" t="s">
        <v>9</v>
      </c>
      <c r="N80" s="83">
        <f t="shared" si="18"/>
        <v>0</v>
      </c>
      <c r="O80" s="83">
        <f t="shared" si="19"/>
        <v>0</v>
      </c>
      <c r="P80" s="182"/>
      <c r="Q80" s="18" t="s">
        <v>106</v>
      </c>
      <c r="R80" s="8" t="s">
        <v>109</v>
      </c>
      <c r="S80" s="8" t="s">
        <v>110</v>
      </c>
      <c r="T80" s="24" t="s">
        <v>111</v>
      </c>
    </row>
    <row r="81" spans="1:23" s="3" customFormat="1" ht="15" hidden="1" customHeight="1" thickBot="1">
      <c r="A81" s="33"/>
      <c r="B81" s="71" t="s">
        <v>28</v>
      </c>
      <c r="C81" s="72">
        <f>SUMIFS($J$10:$J$58,$C$10:$C$58,"MJ",$H$10:$H$58,"0,00%")</f>
        <v>0</v>
      </c>
      <c r="D81" s="72"/>
      <c r="E81" s="120">
        <f>SUMIFS($J$10:$J$58,$C$10:$C$58,"MJ",$H$10:$H$58,"100,00%")</f>
        <v>0</v>
      </c>
      <c r="F81" s="134">
        <f t="shared" si="16"/>
        <v>0</v>
      </c>
      <c r="G81" s="118">
        <f t="shared" si="17"/>
        <v>0</v>
      </c>
      <c r="H81" s="153">
        <f t="shared" si="20"/>
        <v>0</v>
      </c>
      <c r="I81" s="123">
        <f t="shared" si="21"/>
        <v>0</v>
      </c>
      <c r="J81" s="154"/>
      <c r="K81" s="154"/>
      <c r="L81" s="154"/>
      <c r="M81" s="112" t="s">
        <v>28</v>
      </c>
      <c r="N81" s="83">
        <f t="shared" si="18"/>
        <v>0</v>
      </c>
      <c r="O81" s="83">
        <f t="shared" si="19"/>
        <v>0</v>
      </c>
      <c r="P81" s="182"/>
      <c r="Q81" s="25" t="s">
        <v>107</v>
      </c>
      <c r="R81" s="26" t="e">
        <f>SUMIF(#REF!,#REF!,J$10:J$58)</f>
        <v>#REF!</v>
      </c>
      <c r="S81" s="5" t="e">
        <f>SUMIF(#REF!,#REF!,M$10:M$58)</f>
        <v>#REF!</v>
      </c>
      <c r="T81" s="8" t="e">
        <f>COUNTIF(#REF!,"S.C. Metrorex S.A.")</f>
        <v>#REF!</v>
      </c>
    </row>
    <row r="82" spans="1:23" s="3" customFormat="1" ht="15" hidden="1" customHeight="1" thickBot="1">
      <c r="A82" s="33"/>
      <c r="B82" s="107" t="s">
        <v>270</v>
      </c>
      <c r="C82" s="72">
        <f>SUMIFS($J$10:$J$58,$C$10:$C$58,"MDLPA",$H$10:$H$58,"0,00%")</f>
        <v>0</v>
      </c>
      <c r="D82" s="72"/>
      <c r="E82" s="120">
        <f>SUMIFS($J$10:$J$58,$C$10:$C$58,"MDLPA",$H$10:$H$58,"100,00%")</f>
        <v>0</v>
      </c>
      <c r="F82" s="134">
        <f t="shared" si="16"/>
        <v>0</v>
      </c>
      <c r="G82" s="118">
        <f t="shared" si="17"/>
        <v>0</v>
      </c>
      <c r="H82" s="153">
        <f t="shared" si="20"/>
        <v>0</v>
      </c>
      <c r="I82" s="123">
        <f t="shared" si="21"/>
        <v>0</v>
      </c>
      <c r="J82" s="154"/>
      <c r="K82" s="154"/>
      <c r="L82" s="154"/>
      <c r="M82" s="112" t="s">
        <v>270</v>
      </c>
      <c r="N82" s="83">
        <f t="shared" si="18"/>
        <v>0</v>
      </c>
      <c r="O82" s="83">
        <f t="shared" si="19"/>
        <v>0</v>
      </c>
      <c r="P82" s="182"/>
      <c r="Q82" s="25" t="s">
        <v>108</v>
      </c>
      <c r="R82" s="26">
        <f>'[1]Anexa 3 iulie 2018'!$I$11</f>
        <v>15812492</v>
      </c>
      <c r="S82" s="5">
        <f>'[1]Anexa 3 iulie 2018'!$M$11</f>
        <v>10083369</v>
      </c>
      <c r="T82" s="8"/>
    </row>
    <row r="83" spans="1:23" s="3" customFormat="1" ht="15" hidden="1" customHeight="1" thickBot="1">
      <c r="A83" s="33"/>
      <c r="B83" s="74" t="s">
        <v>232</v>
      </c>
      <c r="C83" s="72">
        <f>SUMIFS($J$10:$J$58,$C$10:$C$58,"MMAP",$H$10:$H$58,"0,00%")</f>
        <v>0</v>
      </c>
      <c r="D83" s="72"/>
      <c r="E83" s="120">
        <f>SUMIFS($J$10:$J$58,$C$10:$C$58,"MMAP",$H$10:$H$58,"100,00%")</f>
        <v>0</v>
      </c>
      <c r="F83" s="134">
        <f t="shared" si="16"/>
        <v>0</v>
      </c>
      <c r="G83" s="118">
        <f t="shared" si="17"/>
        <v>233538</v>
      </c>
      <c r="H83" s="153">
        <f t="shared" si="20"/>
        <v>0</v>
      </c>
      <c r="I83" s="123">
        <f t="shared" si="21"/>
        <v>233538</v>
      </c>
      <c r="J83" s="154"/>
      <c r="K83" s="154"/>
      <c r="L83" s="154"/>
      <c r="M83" s="113" t="s">
        <v>232</v>
      </c>
      <c r="N83" s="83">
        <f t="shared" si="18"/>
        <v>7.6011027910027739E-3</v>
      </c>
      <c r="O83" s="83">
        <f t="shared" si="19"/>
        <v>2.3168408693438867E-2</v>
      </c>
      <c r="P83" s="182"/>
      <c r="Q83" s="25" t="s">
        <v>77</v>
      </c>
      <c r="R83" s="26" t="e">
        <f>R81-R82</f>
        <v>#REF!</v>
      </c>
      <c r="S83" s="26" t="e">
        <f>S81-S82</f>
        <v>#REF!</v>
      </c>
      <c r="T83" s="8"/>
    </row>
    <row r="84" spans="1:23" s="3" customFormat="1" ht="15" hidden="1" customHeight="1" thickBot="1">
      <c r="A84" s="33"/>
      <c r="B84" s="71" t="s">
        <v>432</v>
      </c>
      <c r="C84" s="72">
        <f>SUMIFS($J$10:$J$58,$C$10:$C$58,"ME",$H$10:$H$58,"0,00%")</f>
        <v>0</v>
      </c>
      <c r="D84" s="72"/>
      <c r="E84" s="120">
        <f>SUMIFS($J$11:$J$58,$C$11:$C$58,"ME",$H$11:$H$58,"100,00%")</f>
        <v>0</v>
      </c>
      <c r="F84" s="134">
        <f t="shared" si="16"/>
        <v>0</v>
      </c>
      <c r="G84" s="118">
        <f t="shared" si="17"/>
        <v>0</v>
      </c>
      <c r="H84" s="153">
        <f t="shared" si="20"/>
        <v>0</v>
      </c>
      <c r="I84" s="123">
        <f t="shared" si="21"/>
        <v>0</v>
      </c>
      <c r="J84" s="154"/>
      <c r="K84" s="154"/>
      <c r="L84" s="154"/>
      <c r="M84" s="112" t="s">
        <v>432</v>
      </c>
      <c r="N84" s="83">
        <f t="shared" si="18"/>
        <v>0</v>
      </c>
      <c r="O84" s="83">
        <f t="shared" si="19"/>
        <v>0</v>
      </c>
      <c r="P84" s="182"/>
      <c r="Q84" s="25"/>
      <c r="R84" s="8"/>
      <c r="S84" s="5"/>
      <c r="T84" s="8"/>
    </row>
    <row r="85" spans="1:23" s="3" customFormat="1" ht="15" hidden="1" customHeight="1" thickBot="1">
      <c r="A85" s="33"/>
      <c r="B85" s="71" t="s">
        <v>275</v>
      </c>
      <c r="C85" s="72">
        <f>SUMIFS($J$10:$J$58,$C$10:$C$58,"MCID",$H$10:$H$58,"0,00%")</f>
        <v>0</v>
      </c>
      <c r="D85" s="72"/>
      <c r="E85" s="120">
        <f>SUMIFS($J$10:$J$58,$C$10:$C$58,"MCID",$H$10:$H$58,"100,00%")</f>
        <v>0</v>
      </c>
      <c r="F85" s="134">
        <f t="shared" si="16"/>
        <v>0</v>
      </c>
      <c r="G85" s="118">
        <f t="shared" si="17"/>
        <v>0</v>
      </c>
      <c r="H85" s="153">
        <f t="shared" si="20"/>
        <v>0</v>
      </c>
      <c r="I85" s="123">
        <f t="shared" si="21"/>
        <v>0</v>
      </c>
      <c r="J85" s="154"/>
      <c r="K85" s="154"/>
      <c r="L85" s="154"/>
      <c r="M85" s="112" t="s">
        <v>247</v>
      </c>
      <c r="N85" s="83">
        <f>N73/$N$75</f>
        <v>0</v>
      </c>
      <c r="O85" s="83">
        <f t="shared" si="19"/>
        <v>0</v>
      </c>
      <c r="P85" s="182"/>
      <c r="Q85" s="18" t="s">
        <v>113</v>
      </c>
      <c r="R85" s="5" t="s">
        <v>120</v>
      </c>
      <c r="S85" s="5" t="s">
        <v>121</v>
      </c>
      <c r="T85" s="8"/>
      <c r="U85" s="3" t="s">
        <v>122</v>
      </c>
      <c r="V85" s="3" t="s">
        <v>123</v>
      </c>
      <c r="W85" s="3" t="s">
        <v>124</v>
      </c>
    </row>
    <row r="86" spans="1:23" s="3" customFormat="1" ht="15" hidden="1" customHeight="1" thickBot="1">
      <c r="A86" s="33"/>
      <c r="B86" s="137" t="s">
        <v>247</v>
      </c>
      <c r="C86" s="72">
        <f>SUMIFS($J$10:$J$58,$C$10:$C$58,"SPP",$H$10:$H$58,"0,00%")</f>
        <v>0</v>
      </c>
      <c r="D86" s="138"/>
      <c r="E86" s="120">
        <f>SUMIFS($J$10:$J$58,$C$10:$C$58,"SPP",$H$10:$H$58,"100,00%")</f>
        <v>0</v>
      </c>
      <c r="F86" s="134">
        <f t="shared" si="16"/>
        <v>0</v>
      </c>
      <c r="G86" s="118">
        <f t="shared" si="17"/>
        <v>0</v>
      </c>
      <c r="H86" s="153">
        <f t="shared" si="20"/>
        <v>0</v>
      </c>
      <c r="I86" s="123">
        <f t="shared" si="21"/>
        <v>0</v>
      </c>
      <c r="J86" s="154"/>
      <c r="K86" s="154"/>
      <c r="L86" s="154"/>
      <c r="M86" s="112" t="s">
        <v>275</v>
      </c>
      <c r="N86" s="83">
        <f>N72/$N$75</f>
        <v>0</v>
      </c>
      <c r="O86" s="83">
        <f t="shared" si="19"/>
        <v>0</v>
      </c>
      <c r="P86" s="182"/>
      <c r="Q86" s="18"/>
      <c r="R86" s="5"/>
      <c r="S86" s="5"/>
      <c r="T86" s="8"/>
    </row>
    <row r="87" spans="1:23" s="3" customFormat="1" ht="15" hidden="1" customHeight="1" thickBot="1">
      <c r="A87" s="33"/>
      <c r="B87" s="84" t="s">
        <v>76</v>
      </c>
      <c r="C87" s="85">
        <f>SUMIFS($J$10:$J$58,$C$10:$C$58,"MApN",$H$10:$H$58,"0,00%")</f>
        <v>0</v>
      </c>
      <c r="D87" s="85"/>
      <c r="E87" s="121">
        <f>SUMIFS($J$10:$J$58,$C$10:$C$58,"MApN",$H$10:$H$58,"100,00%")</f>
        <v>0</v>
      </c>
      <c r="F87" s="134">
        <f t="shared" si="16"/>
        <v>0</v>
      </c>
      <c r="G87" s="118">
        <f t="shared" si="17"/>
        <v>0</v>
      </c>
      <c r="H87" s="153">
        <f>G87-F87-I87</f>
        <v>0</v>
      </c>
      <c r="I87" s="123">
        <f>G87-F87</f>
        <v>0</v>
      </c>
      <c r="J87" s="154"/>
      <c r="K87" s="154"/>
      <c r="L87" s="154"/>
      <c r="M87" s="114" t="s">
        <v>76</v>
      </c>
      <c r="N87" s="83">
        <f>N74/$N$75</f>
        <v>0</v>
      </c>
      <c r="O87" s="83">
        <f t="shared" si="19"/>
        <v>0</v>
      </c>
      <c r="P87" s="182"/>
      <c r="Q87" s="25" t="s">
        <v>112</v>
      </c>
      <c r="R87" s="5" t="e">
        <f>SUMIF(#REF!,#REF!,J$10:J$58)</f>
        <v>#REF!</v>
      </c>
      <c r="S87" s="5" t="e">
        <f>SUMIF(#REF!,#REF!,M$10:M$58)</f>
        <v>#REF!</v>
      </c>
      <c r="T87" s="8" t="e">
        <f>COUNTIF(#REF!,"CNAIR S.A.")</f>
        <v>#REF!</v>
      </c>
      <c r="U87" s="27" t="e">
        <f>SUMIF(#REF!,#REF!,G$10:G$58)</f>
        <v>#REF!</v>
      </c>
      <c r="V87" s="27" t="e">
        <f>SUMIF(#REF!,#REF!,H$10:H$58)</f>
        <v>#REF!</v>
      </c>
      <c r="W87" s="27" t="e">
        <f>SUMIF(#REF!,#REF!,I$10:I$58)</f>
        <v>#REF!</v>
      </c>
    </row>
    <row r="88" spans="1:23" s="3" customFormat="1" ht="15" hidden="1" customHeight="1" thickBot="1">
      <c r="A88" s="33"/>
      <c r="B88" s="86"/>
      <c r="C88" s="85">
        <f>SUM(C79:C87)</f>
        <v>0</v>
      </c>
      <c r="D88" s="87"/>
      <c r="E88" s="122">
        <f>SUM(E79:E87)</f>
        <v>0</v>
      </c>
      <c r="F88" s="128">
        <f>SUM(F79:F87)</f>
        <v>0</v>
      </c>
      <c r="G88" s="82">
        <f>SUM(G79:G87)</f>
        <v>30724226</v>
      </c>
      <c r="H88" s="54"/>
      <c r="I88" s="124">
        <f>SUM(I79:I87)</f>
        <v>30724226</v>
      </c>
      <c r="J88" s="154"/>
      <c r="K88" s="154"/>
      <c r="L88" s="154"/>
      <c r="M88" s="34"/>
      <c r="N88" s="90">
        <f>SUM(N79:N87)</f>
        <v>1</v>
      </c>
      <c r="O88" s="90">
        <f>SUM(O79:O87)</f>
        <v>1</v>
      </c>
      <c r="P88" s="182"/>
      <c r="Q88" s="25" t="s">
        <v>108</v>
      </c>
      <c r="R88" s="5">
        <f>'[2]Anexa nr 3'!$I$100</f>
        <v>108444423.36452997</v>
      </c>
      <c r="S88" s="5">
        <f>'[2]Anexa nr 3'!$M$100</f>
        <v>65459951.74453</v>
      </c>
      <c r="T88" s="8"/>
      <c r="U88" s="27">
        <f>'[3]anexa 2 PUNCTAJ'!$F$192</f>
        <v>6980.5</v>
      </c>
      <c r="V88" s="27">
        <f>'[2]Anexa nr 3'!$F$100*100</f>
        <v>5702.5800000000008</v>
      </c>
      <c r="W88" s="27">
        <f>'[2]Anexa nr 3'!$G$100*100</f>
        <v>4994.5301788876441</v>
      </c>
    </row>
    <row r="89" spans="1:23" s="3" customFormat="1" ht="15" hidden="1" customHeight="1">
      <c r="A89" s="33"/>
      <c r="B89" s="181"/>
      <c r="C89" s="89"/>
      <c r="D89" s="52"/>
      <c r="E89" s="54">
        <f>I88</f>
        <v>30724226</v>
      </c>
      <c r="F89" s="122">
        <f>F88-E88-C88</f>
        <v>0</v>
      </c>
      <c r="G89" s="87"/>
      <c r="H89" s="54"/>
      <c r="I89" s="50"/>
      <c r="J89" s="154"/>
      <c r="K89" s="154"/>
      <c r="L89" s="154"/>
      <c r="M89" s="34"/>
      <c r="N89" s="90" t="s">
        <v>80</v>
      </c>
      <c r="O89" s="90" t="s">
        <v>80</v>
      </c>
      <c r="P89" s="182"/>
      <c r="Q89" s="25" t="s">
        <v>77</v>
      </c>
      <c r="R89" s="5" t="e">
        <f>R87-R88</f>
        <v>#REF!</v>
      </c>
      <c r="S89" s="5" t="e">
        <f>S87-S88</f>
        <v>#REF!</v>
      </c>
      <c r="T89" s="8"/>
      <c r="U89" s="27" t="e">
        <f>U87-U88</f>
        <v>#REF!</v>
      </c>
      <c r="V89" s="27" t="e">
        <f>V87-V88</f>
        <v>#REF!</v>
      </c>
      <c r="W89" s="27" t="e">
        <f>W87-W88</f>
        <v>#REF!</v>
      </c>
    </row>
    <row r="90" spans="1:23" s="3" customFormat="1" ht="15" hidden="1" customHeight="1" thickBot="1">
      <c r="A90" s="33"/>
      <c r="B90" s="181"/>
      <c r="C90" s="33"/>
      <c r="D90" s="33"/>
      <c r="E90" s="50"/>
      <c r="F90" s="2"/>
      <c r="G90" s="94"/>
      <c r="H90" s="50"/>
      <c r="I90" s="54"/>
      <c r="J90" s="154"/>
      <c r="K90" s="154"/>
      <c r="L90" s="154"/>
      <c r="N90" s="175"/>
      <c r="P90" s="182"/>
      <c r="Q90" s="25"/>
      <c r="R90" s="5"/>
      <c r="S90" s="5"/>
      <c r="T90" s="8" t="s">
        <v>125</v>
      </c>
      <c r="U90" s="28"/>
    </row>
    <row r="91" spans="1:23" s="3" customFormat="1" ht="15" hidden="1" customHeight="1" thickBot="1">
      <c r="A91" s="33"/>
      <c r="B91" s="91" t="s">
        <v>82</v>
      </c>
      <c r="C91" s="92">
        <v>0</v>
      </c>
      <c r="D91" s="92"/>
      <c r="E91" s="92">
        <v>100</v>
      </c>
      <c r="F91" s="135" t="s">
        <v>238</v>
      </c>
      <c r="G91" s="94" t="s">
        <v>84</v>
      </c>
      <c r="H91" s="50" t="s">
        <v>67</v>
      </c>
      <c r="I91" s="125" t="s">
        <v>236</v>
      </c>
      <c r="J91" s="34"/>
      <c r="K91" s="34"/>
      <c r="L91" s="34"/>
      <c r="M91" s="53"/>
      <c r="N91" s="53"/>
      <c r="O91" s="52"/>
      <c r="P91" s="182"/>
      <c r="Q91" s="18" t="s">
        <v>115</v>
      </c>
      <c r="R91" s="6" t="e">
        <f>R92+R97</f>
        <v>#REF!</v>
      </c>
      <c r="S91" s="6" t="e">
        <f>S92+S97</f>
        <v>#REF!</v>
      </c>
      <c r="T91" s="8" t="e">
        <f>COUNTIF(#REF!,"CN Administraţia Porturilor Maritime SA Constanţa")</f>
        <v>#REF!</v>
      </c>
    </row>
    <row r="92" spans="1:23" s="3" customFormat="1" ht="15" hidden="1" customHeight="1" thickBot="1">
      <c r="A92" s="33"/>
      <c r="B92" s="115" t="s">
        <v>219</v>
      </c>
      <c r="C92" s="72">
        <f>SUMIFS($M$11:$M$60,$C$11:$C$60,"MTI",$H$11:$H$60,"0,00%")</f>
        <v>0</v>
      </c>
      <c r="D92" s="72"/>
      <c r="E92" s="127">
        <f>SUMIFS($M$11:$M$58,$C$11:$C$58,"MTIC",$H$11:$H$58,"100,00%")</f>
        <v>0</v>
      </c>
      <c r="F92" s="127">
        <f>C92+E92</f>
        <v>0</v>
      </c>
      <c r="G92" s="82">
        <f t="shared" ref="G92:G100" si="22">O66</f>
        <v>4282965</v>
      </c>
      <c r="H92" s="153">
        <f>G92-F92-I92</f>
        <v>0</v>
      </c>
      <c r="I92" s="123">
        <f>G92-F92</f>
        <v>4282965</v>
      </c>
      <c r="J92" s="34"/>
      <c r="K92" s="34"/>
      <c r="L92" s="34"/>
      <c r="M92" s="53"/>
      <c r="N92" s="53"/>
      <c r="O92" s="52"/>
      <c r="P92" s="182"/>
      <c r="Q92" s="25" t="s">
        <v>112</v>
      </c>
      <c r="R92" s="5" t="e">
        <f>SUMIF(#REF!,#REF!,J$10:J$58)</f>
        <v>#REF!</v>
      </c>
      <c r="S92" s="17" t="e">
        <f>SUMIF(#REF!,#REF!,M$10:M$58)</f>
        <v>#REF!</v>
      </c>
      <c r="T92" s="8"/>
    </row>
    <row r="93" spans="1:23" s="3" customFormat="1" ht="15" hidden="1" customHeight="1" thickBot="1">
      <c r="A93" s="33"/>
      <c r="B93" s="115" t="s">
        <v>9</v>
      </c>
      <c r="C93" s="72">
        <f>SUMIFS($M$11:$M$60,$C$11:$C$60,"MS",$H$11:$H$60,"0,00%")</f>
        <v>0</v>
      </c>
      <c r="D93" s="72"/>
      <c r="E93" s="127">
        <f>SUMIFS($M$11:$M$58,$C$11:$C$58,"MS",$H$11:$H$58,"100,00%")</f>
        <v>0</v>
      </c>
      <c r="F93" s="127">
        <f t="shared" ref="F93:F99" si="23">C93+E93</f>
        <v>0</v>
      </c>
      <c r="G93" s="82">
        <f t="shared" si="22"/>
        <v>0</v>
      </c>
      <c r="H93" s="153">
        <f t="shared" ref="H93:H100" si="24">G93-F93-I93</f>
        <v>0</v>
      </c>
      <c r="I93" s="123">
        <f t="shared" ref="I93:I99" si="25">G93-F93</f>
        <v>0</v>
      </c>
      <c r="J93" s="34"/>
      <c r="K93" s="34"/>
      <c r="L93" s="34"/>
      <c r="M93" s="34"/>
      <c r="N93" s="53"/>
      <c r="O93" s="52"/>
      <c r="P93" s="182"/>
      <c r="Q93" s="25" t="s">
        <v>108</v>
      </c>
      <c r="R93" s="5"/>
      <c r="S93" s="17"/>
      <c r="T93" s="8"/>
    </row>
    <row r="94" spans="1:23" s="3" customFormat="1" ht="15" hidden="1" customHeight="1" thickBot="1">
      <c r="A94" s="93"/>
      <c r="B94" s="115" t="s">
        <v>28</v>
      </c>
      <c r="C94" s="72">
        <f>SUMIFS($M$11:$M$60,$C$11:$C$60,"MJ",$H$11:$H$60,"0,00%")</f>
        <v>0</v>
      </c>
      <c r="D94" s="72"/>
      <c r="E94" s="127">
        <f>SUMIFS($M$11:$M$58,$C$11:$C$58,"MJ",$H$11:$H$58,"100,00%")</f>
        <v>0</v>
      </c>
      <c r="F94" s="127">
        <f t="shared" si="23"/>
        <v>0</v>
      </c>
      <c r="G94" s="82">
        <f t="shared" si="22"/>
        <v>0</v>
      </c>
      <c r="H94" s="153">
        <f t="shared" si="24"/>
        <v>0</v>
      </c>
      <c r="I94" s="123">
        <f t="shared" si="25"/>
        <v>0</v>
      </c>
      <c r="J94" s="34"/>
      <c r="K94" s="34"/>
      <c r="L94" s="34"/>
      <c r="M94" s="53"/>
      <c r="N94" s="53"/>
      <c r="O94" s="52"/>
      <c r="P94" s="182"/>
      <c r="Q94" s="25" t="s">
        <v>77</v>
      </c>
      <c r="R94" s="5" t="e">
        <f>R92-R93</f>
        <v>#REF!</v>
      </c>
      <c r="S94" s="5" t="e">
        <f>S92-S93</f>
        <v>#REF!</v>
      </c>
      <c r="T94" s="8"/>
    </row>
    <row r="95" spans="1:23" s="3" customFormat="1" ht="15" hidden="1" customHeight="1" thickBot="1">
      <c r="A95" s="34"/>
      <c r="B95" s="115" t="s">
        <v>270</v>
      </c>
      <c r="C95" s="72">
        <f>SUMIFS($M$11:$M$60,$C$11:$C$60,"MDLPA",$H$11:$H$60,"0,00%")</f>
        <v>0</v>
      </c>
      <c r="D95" s="72"/>
      <c r="E95" s="127">
        <f>SUMIFS($M$11:$M$58,$C$11:$C$58,"MLPDA",$H$11:$H$58,"100,00%")</f>
        <v>0</v>
      </c>
      <c r="F95" s="127">
        <f t="shared" si="23"/>
        <v>0</v>
      </c>
      <c r="G95" s="82">
        <f t="shared" si="22"/>
        <v>0</v>
      </c>
      <c r="H95" s="153">
        <f t="shared" si="24"/>
        <v>0</v>
      </c>
      <c r="I95" s="123">
        <f t="shared" si="25"/>
        <v>0</v>
      </c>
      <c r="J95" s="34"/>
      <c r="K95" s="34"/>
      <c r="L95" s="34"/>
      <c r="M95" s="34"/>
      <c r="N95" s="34"/>
      <c r="O95" s="33"/>
      <c r="P95" s="182"/>
      <c r="Q95" s="15"/>
      <c r="R95" s="5" t="e">
        <f>R91+R110</f>
        <v>#REF!</v>
      </c>
      <c r="S95" s="5" t="e">
        <f>S91+S110</f>
        <v>#REF!</v>
      </c>
      <c r="T95" s="8"/>
    </row>
    <row r="96" spans="1:23" s="3" customFormat="1" ht="15" hidden="1" customHeight="1" thickBot="1">
      <c r="A96" s="34"/>
      <c r="B96" s="116" t="s">
        <v>232</v>
      </c>
      <c r="C96" s="72">
        <f>SUMIFS($M$11:$M$60,$C$11:$C$60,"MMAP",$H$11:$H$60,"0,00%")</f>
        <v>0</v>
      </c>
      <c r="D96" s="72"/>
      <c r="E96" s="127">
        <f>SUMIFS($M$11:$M$58,$C$11:$C$58,"MMAP",$H$11:$H$58,"100,00%")</f>
        <v>0</v>
      </c>
      <c r="F96" s="127">
        <f>C96+E96</f>
        <v>0</v>
      </c>
      <c r="G96" s="82">
        <f t="shared" si="22"/>
        <v>101583</v>
      </c>
      <c r="H96" s="153">
        <f t="shared" si="24"/>
        <v>0</v>
      </c>
      <c r="I96" s="123">
        <f>G96-F96</f>
        <v>101583</v>
      </c>
      <c r="J96" s="53"/>
      <c r="K96" s="53"/>
      <c r="L96" s="53"/>
      <c r="M96" s="53"/>
      <c r="N96" s="53"/>
      <c r="O96" s="52"/>
      <c r="P96" s="182"/>
      <c r="Q96" s="16" t="s">
        <v>116</v>
      </c>
      <c r="R96" s="5"/>
      <c r="S96" s="17"/>
      <c r="T96" s="8" t="e">
        <f>COUNTIF(#REF!,"AFDJ RA Galati")</f>
        <v>#REF!</v>
      </c>
    </row>
    <row r="97" spans="1:20" s="3" customFormat="1" ht="15" hidden="1" customHeight="1" thickBot="1">
      <c r="A97" s="34"/>
      <c r="B97" s="115" t="s">
        <v>432</v>
      </c>
      <c r="C97" s="72">
        <f>SUMIFS($M$11:$M$60,$C$11:$C$60,"ME",$H$11:$H$60,"0,00%")</f>
        <v>0</v>
      </c>
      <c r="D97" s="72"/>
      <c r="E97" s="127">
        <f>SUMIFS($M$11:$M$58,$C$11:$C$58,"MEEMA",$H$11:$H$58,"100,00%")</f>
        <v>0</v>
      </c>
      <c r="F97" s="127">
        <f t="shared" si="23"/>
        <v>0</v>
      </c>
      <c r="G97" s="82">
        <f t="shared" si="22"/>
        <v>0</v>
      </c>
      <c r="H97" s="153">
        <f t="shared" si="24"/>
        <v>0</v>
      </c>
      <c r="I97" s="123">
        <f t="shared" si="25"/>
        <v>0</v>
      </c>
      <c r="J97" s="34"/>
      <c r="K97" s="34"/>
      <c r="L97" s="34"/>
      <c r="M97" s="53"/>
      <c r="N97" s="53"/>
      <c r="O97" s="52"/>
      <c r="P97" s="182"/>
      <c r="Q97" s="25" t="s">
        <v>112</v>
      </c>
      <c r="R97" s="5" t="e">
        <f>SUMIF(#REF!,#REF!,J$10:J$58)</f>
        <v>#REF!</v>
      </c>
      <c r="S97" s="17" t="e">
        <f>SUMIF(#REF!,#REF!,M$10:M$58)</f>
        <v>#REF!</v>
      </c>
      <c r="T97" s="8"/>
    </row>
    <row r="98" spans="1:20" s="3" customFormat="1" ht="15" hidden="1" customHeight="1" thickBot="1">
      <c r="A98" s="34"/>
      <c r="B98" s="115" t="s">
        <v>275</v>
      </c>
      <c r="C98" s="72">
        <f>SUMIFS($M$11:$M$60,$C$11:$C$60,"MCID",$H$11:$H$60,"0,00%")</f>
        <v>0</v>
      </c>
      <c r="D98" s="72"/>
      <c r="E98" s="127">
        <f>SUMIFS($M$11:$M$58,$C$11:$C$58,"MEC",$H$11:$H$58,"100,00%")</f>
        <v>0</v>
      </c>
      <c r="F98" s="127">
        <f t="shared" si="23"/>
        <v>0</v>
      </c>
      <c r="G98" s="82">
        <f t="shared" si="22"/>
        <v>0</v>
      </c>
      <c r="H98" s="153">
        <f t="shared" si="24"/>
        <v>0</v>
      </c>
      <c r="I98" s="123">
        <f t="shared" si="25"/>
        <v>0</v>
      </c>
      <c r="J98" s="34"/>
      <c r="K98" s="34"/>
      <c r="L98" s="34"/>
      <c r="M98" s="53"/>
      <c r="N98" s="53"/>
      <c r="O98" s="52"/>
      <c r="P98" s="182"/>
      <c r="Q98" s="25" t="s">
        <v>108</v>
      </c>
      <c r="R98" s="5"/>
      <c r="S98" s="17"/>
      <c r="T98" s="8"/>
    </row>
    <row r="99" spans="1:20" s="3" customFormat="1" ht="15" hidden="1" customHeight="1" thickBot="1">
      <c r="A99" s="34"/>
      <c r="B99" s="115" t="s">
        <v>247</v>
      </c>
      <c r="C99" s="72">
        <f>SUMIFS($M$11:$M$60,$C$11:$C$60,"SPP",$H$11:$H$60,"0,00%")</f>
        <v>0</v>
      </c>
      <c r="D99" s="72"/>
      <c r="E99" s="127">
        <f>SUMIFS($M$11:$M$58,$C$11:$C$58,"MEC",$H$11:$H$58,"100,00%")</f>
        <v>0</v>
      </c>
      <c r="F99" s="127">
        <f t="shared" si="23"/>
        <v>0</v>
      </c>
      <c r="G99" s="82">
        <f t="shared" si="22"/>
        <v>0</v>
      </c>
      <c r="H99" s="153">
        <f t="shared" si="24"/>
        <v>0</v>
      </c>
      <c r="I99" s="123">
        <f t="shared" si="25"/>
        <v>0</v>
      </c>
      <c r="J99" s="34"/>
      <c r="K99" s="34"/>
      <c r="L99" s="34"/>
      <c r="M99" s="53"/>
      <c r="N99" s="53"/>
      <c r="O99" s="52"/>
      <c r="P99" s="182"/>
      <c r="Q99" s="25"/>
      <c r="R99" s="5"/>
      <c r="S99" s="17"/>
      <c r="T99" s="8"/>
    </row>
    <row r="100" spans="1:20" s="3" customFormat="1" ht="15" hidden="1" customHeight="1" thickBot="1">
      <c r="A100" s="34"/>
      <c r="B100" s="115" t="s">
        <v>76</v>
      </c>
      <c r="C100" s="72">
        <f>SUMIFS($M$11:$M$60,$C$11:$C$60,"MTI",$H$11:$H$60,"0,00%")</f>
        <v>0</v>
      </c>
      <c r="D100" s="72"/>
      <c r="E100" s="127">
        <f>SUMIFS($M$11:$M$58,$C$11:$C$58,"MApN",$H$11:$H$58,"100,00%")</f>
        <v>0</v>
      </c>
      <c r="F100" s="127">
        <f>C100+E100</f>
        <v>0</v>
      </c>
      <c r="G100" s="82">
        <f t="shared" si="22"/>
        <v>0</v>
      </c>
      <c r="H100" s="153">
        <f t="shared" si="24"/>
        <v>0</v>
      </c>
      <c r="I100" s="123">
        <f>G100-F100</f>
        <v>0</v>
      </c>
      <c r="J100" s="53"/>
      <c r="K100" s="53"/>
      <c r="L100" s="53"/>
      <c r="M100" s="53"/>
      <c r="N100" s="53"/>
      <c r="O100" s="52"/>
      <c r="P100" s="182"/>
      <c r="Q100" s="25" t="s">
        <v>77</v>
      </c>
      <c r="R100" s="5" t="e">
        <f>R97-R98</f>
        <v>#REF!</v>
      </c>
      <c r="S100" s="5" t="e">
        <f>S97-S98</f>
        <v>#REF!</v>
      </c>
      <c r="T100" s="8"/>
    </row>
    <row r="101" spans="1:20" s="3" customFormat="1" ht="15" hidden="1" customHeight="1" thickBot="1">
      <c r="A101" s="34"/>
      <c r="B101" s="95">
        <f>C101+E101</f>
        <v>0</v>
      </c>
      <c r="C101" s="72">
        <f>SUM(C92:C100)</f>
        <v>0</v>
      </c>
      <c r="D101" s="88"/>
      <c r="E101" s="128">
        <f>SUM(E92:E100)</f>
        <v>0</v>
      </c>
      <c r="F101" s="128">
        <f>SUM(F92:F100)</f>
        <v>0</v>
      </c>
      <c r="G101" s="82">
        <f>SUM(G92:G100)</f>
        <v>4384548</v>
      </c>
      <c r="H101" s="54"/>
      <c r="I101" s="126">
        <f>SUM(I92:I100)</f>
        <v>4384548</v>
      </c>
      <c r="J101" s="53"/>
      <c r="K101" s="53"/>
      <c r="L101" s="53"/>
      <c r="M101" s="53"/>
      <c r="N101" s="53"/>
      <c r="O101" s="52"/>
      <c r="P101" s="182"/>
      <c r="Q101" s="15" t="s">
        <v>128</v>
      </c>
      <c r="R101" s="6" t="e">
        <f>R92+R97</f>
        <v>#REF!</v>
      </c>
      <c r="S101" s="6" t="e">
        <f>S92+S97</f>
        <v>#REF!</v>
      </c>
      <c r="T101" s="8"/>
    </row>
    <row r="102" spans="1:20" s="3" customFormat="1" ht="15" hidden="1" customHeight="1">
      <c r="A102" s="53"/>
      <c r="B102" s="181"/>
      <c r="C102" s="89" t="s">
        <v>81</v>
      </c>
      <c r="D102" s="52"/>
      <c r="E102" s="51">
        <f>I101</f>
        <v>4384548</v>
      </c>
      <c r="F102" s="92"/>
      <c r="G102" s="94"/>
      <c r="H102" s="50"/>
      <c r="I102" s="50">
        <f>I101+E101</f>
        <v>4384548</v>
      </c>
      <c r="J102" s="53"/>
      <c r="K102" s="53"/>
      <c r="L102" s="53"/>
      <c r="M102" s="53"/>
      <c r="N102" s="53"/>
      <c r="O102" s="52"/>
      <c r="P102" s="182"/>
      <c r="Q102" s="16" t="s">
        <v>117</v>
      </c>
      <c r="R102" s="5"/>
      <c r="S102" s="17"/>
      <c r="T102" s="8" t="e">
        <f>COUNTIF(#REF!,"CNCF CFR-SA")</f>
        <v>#REF!</v>
      </c>
    </row>
    <row r="103" spans="1:20" s="3" customFormat="1" ht="15" hidden="1" customHeight="1">
      <c r="A103" s="34"/>
      <c r="B103" s="181"/>
      <c r="C103" s="33"/>
      <c r="D103" s="33"/>
      <c r="E103" s="34"/>
      <c r="F103" s="34"/>
      <c r="G103" s="94"/>
      <c r="H103" s="50"/>
      <c r="I103" s="50"/>
      <c r="J103" s="53"/>
      <c r="K103" s="53"/>
      <c r="L103" s="53"/>
      <c r="M103" s="53"/>
      <c r="N103" s="53"/>
      <c r="O103" s="52"/>
      <c r="P103" s="182"/>
      <c r="Q103" s="25" t="s">
        <v>112</v>
      </c>
      <c r="R103" s="5" t="e">
        <f>SUMIF(#REF!,#REF!,J$10:J$58)</f>
        <v>#REF!</v>
      </c>
      <c r="S103" s="17" t="e">
        <f>SUMIF(#REF!,#REF!,M$10:M$58)</f>
        <v>#REF!</v>
      </c>
      <c r="T103" s="8"/>
    </row>
    <row r="104" spans="1:20" s="3" customFormat="1" ht="15" hidden="1" customHeight="1">
      <c r="A104" s="34"/>
      <c r="B104" s="181"/>
      <c r="C104" s="33"/>
      <c r="D104" s="33"/>
      <c r="E104" s="34"/>
      <c r="F104" s="34"/>
      <c r="G104" s="94"/>
      <c r="H104" s="50"/>
      <c r="I104" s="50"/>
      <c r="J104" s="34"/>
      <c r="K104" s="34"/>
      <c r="L104" s="34"/>
      <c r="M104" s="34"/>
      <c r="N104" s="34"/>
      <c r="O104" s="33"/>
      <c r="P104" s="182"/>
      <c r="Q104" s="25" t="s">
        <v>108</v>
      </c>
      <c r="R104" s="5">
        <f>'[4]Anexa 3 - 05.09.2018'!$I$21</f>
        <v>37207406</v>
      </c>
      <c r="S104" s="17">
        <f>'[4]Anexa 3 - 05.09.2018'!$M$21</f>
        <v>22054299.829999998</v>
      </c>
      <c r="T104" s="8"/>
    </row>
    <row r="105" spans="1:20" s="3" customFormat="1" ht="15" hidden="1" customHeight="1" thickBot="1">
      <c r="A105" s="34"/>
      <c r="B105" s="181"/>
      <c r="C105" s="96" t="s">
        <v>92</v>
      </c>
      <c r="D105" s="96"/>
      <c r="E105" s="92"/>
      <c r="F105" s="92"/>
      <c r="G105" s="94"/>
      <c r="H105" s="50"/>
      <c r="I105" s="50"/>
      <c r="J105" s="34"/>
      <c r="K105" s="34"/>
      <c r="L105" s="34"/>
      <c r="M105" s="34"/>
      <c r="N105" s="34"/>
      <c r="O105" s="33"/>
      <c r="P105" s="182"/>
      <c r="Q105" s="25" t="s">
        <v>77</v>
      </c>
      <c r="R105" s="5" t="e">
        <f>R103-R104</f>
        <v>#REF!</v>
      </c>
      <c r="S105" s="5" t="e">
        <f>S103-S104</f>
        <v>#REF!</v>
      </c>
      <c r="T105" s="8"/>
    </row>
    <row r="106" spans="1:20" s="3" customFormat="1" ht="15" hidden="1" customHeight="1" thickBot="1">
      <c r="A106" s="34"/>
      <c r="B106" s="181"/>
      <c r="C106" s="97" t="e">
        <f>C101/F101</f>
        <v>#DIV/0!</v>
      </c>
      <c r="D106" s="98"/>
      <c r="E106" s="99" t="e">
        <f>E101/F101</f>
        <v>#DIV/0!</v>
      </c>
      <c r="F106" s="100" t="e">
        <f>C106+E106</f>
        <v>#DIV/0!</v>
      </c>
      <c r="G106" s="94"/>
      <c r="H106" s="50"/>
      <c r="I106" s="50"/>
      <c r="J106" s="34"/>
      <c r="K106" s="34"/>
      <c r="L106" s="34"/>
      <c r="M106" s="34"/>
      <c r="N106" s="34"/>
      <c r="O106" s="33"/>
      <c r="P106" s="182"/>
      <c r="Q106" s="15"/>
      <c r="R106" s="5"/>
      <c r="S106" s="17"/>
      <c r="T106" s="8"/>
    </row>
    <row r="107" spans="1:20" s="3" customFormat="1" ht="15" hidden="1" customHeight="1">
      <c r="A107" s="34"/>
      <c r="B107" s="181"/>
      <c r="C107" s="33"/>
      <c r="D107" s="33"/>
      <c r="E107" s="34"/>
      <c r="F107" s="34"/>
      <c r="G107" s="94"/>
      <c r="H107" s="50"/>
      <c r="I107" s="50"/>
      <c r="J107" s="34"/>
      <c r="K107" s="34"/>
      <c r="L107" s="34"/>
      <c r="M107" s="34"/>
      <c r="N107" s="34"/>
      <c r="O107" s="33"/>
      <c r="P107" s="29"/>
      <c r="Q107" s="16" t="s">
        <v>118</v>
      </c>
      <c r="R107" s="5"/>
      <c r="S107" s="17"/>
      <c r="T107" s="8" t="e">
        <f>COUNTIF(#REF!,"CN Administraţia Canalelor Navigabile SA Constanta")</f>
        <v>#REF!</v>
      </c>
    </row>
    <row r="108" spans="1:20" s="3" customFormat="1" ht="15" hidden="1" customHeight="1">
      <c r="A108" s="34"/>
      <c r="B108" s="181"/>
      <c r="C108" s="33"/>
      <c r="D108" s="33"/>
      <c r="E108" s="34"/>
      <c r="F108" s="34"/>
      <c r="G108" s="94"/>
      <c r="H108" s="50"/>
      <c r="I108" s="50"/>
      <c r="J108" s="34"/>
      <c r="K108" s="34"/>
      <c r="L108" s="34"/>
      <c r="M108" s="34"/>
      <c r="N108" s="34"/>
      <c r="O108" s="33"/>
      <c r="P108" s="29"/>
      <c r="Q108" s="25" t="s">
        <v>112</v>
      </c>
      <c r="R108" s="5" t="e">
        <f>SUMIF(#REF!,#REF!,J$10:J$58)</f>
        <v>#REF!</v>
      </c>
      <c r="S108" s="17" t="e">
        <f>SUMIF(#REF!,#REF!,M$10:M$58)</f>
        <v>#REF!</v>
      </c>
      <c r="T108" s="8"/>
    </row>
    <row r="109" spans="1:20" s="3" customFormat="1" ht="15" hidden="1" customHeight="1" thickBot="1">
      <c r="A109" s="34"/>
      <c r="B109" s="181"/>
      <c r="C109" s="33"/>
      <c r="D109" s="33"/>
      <c r="E109" s="34"/>
      <c r="F109" s="34"/>
      <c r="G109" s="94"/>
      <c r="H109" s="50"/>
      <c r="I109" s="50"/>
      <c r="J109" s="34"/>
      <c r="K109" s="34"/>
      <c r="L109" s="34"/>
      <c r="M109" s="34"/>
      <c r="N109" s="34"/>
      <c r="O109" s="36"/>
      <c r="P109" s="29"/>
      <c r="Q109" s="25" t="s">
        <v>108</v>
      </c>
      <c r="R109" s="5">
        <f>'[5]Anexa nr 3'!$I$17</f>
        <v>4554710</v>
      </c>
      <c r="S109" s="17">
        <f>'[5]Anexa nr 3'!$M$17</f>
        <v>2865562</v>
      </c>
      <c r="T109" s="8"/>
    </row>
    <row r="110" spans="1:20" s="3" customFormat="1" ht="15" hidden="1" customHeight="1" thickBot="1">
      <c r="A110" s="34"/>
      <c r="B110" s="181"/>
      <c r="C110" s="33"/>
      <c r="D110" s="33"/>
      <c r="E110" s="51">
        <f>E112-E111</f>
        <v>30490688</v>
      </c>
      <c r="F110" s="51">
        <f>F112-F111</f>
        <v>4282965</v>
      </c>
      <c r="G110" s="94"/>
      <c r="H110" s="50"/>
      <c r="I110" s="50"/>
      <c r="J110" s="34"/>
      <c r="K110" s="34"/>
      <c r="L110" s="34"/>
      <c r="M110" s="34"/>
      <c r="N110" s="34"/>
      <c r="O110" s="36"/>
      <c r="P110" s="29"/>
      <c r="Q110" s="25" t="s">
        <v>77</v>
      </c>
      <c r="R110" s="5" t="e">
        <f>R108-R109</f>
        <v>#REF!</v>
      </c>
      <c r="S110" s="5" t="e">
        <f>S108-S109</f>
        <v>#REF!</v>
      </c>
      <c r="T110" s="8"/>
    </row>
    <row r="111" spans="1:20" ht="15" hidden="1" customHeight="1">
      <c r="E111" s="50"/>
      <c r="F111" s="50"/>
      <c r="H111" s="50"/>
      <c r="I111" s="50"/>
      <c r="J111" s="34"/>
      <c r="K111" s="34"/>
      <c r="L111" s="34"/>
      <c r="M111" s="34"/>
      <c r="O111" s="36"/>
      <c r="P111" s="29"/>
      <c r="Q111" s="18" t="s">
        <v>129</v>
      </c>
      <c r="R111" s="7" t="e">
        <f>R108+R103+R97+R92+R87+R81</f>
        <v>#REF!</v>
      </c>
      <c r="S111" s="7" t="e">
        <f>S108+S103+S97+S92+S87+S81</f>
        <v>#REF!</v>
      </c>
      <c r="T111" s="6"/>
    </row>
    <row r="112" spans="1:20" ht="15" hidden="1" customHeight="1">
      <c r="E112" s="101">
        <f>N66</f>
        <v>30490688</v>
      </c>
      <c r="F112" s="101">
        <f>O66</f>
        <v>4282965</v>
      </c>
      <c r="H112" s="50"/>
      <c r="I112" s="50"/>
      <c r="J112" s="34"/>
      <c r="K112" s="34"/>
      <c r="L112" s="34"/>
      <c r="M112" s="34"/>
      <c r="O112" s="36"/>
      <c r="P112" s="29"/>
      <c r="Q112" s="3" t="s">
        <v>119</v>
      </c>
      <c r="R112" s="9">
        <f>N66</f>
        <v>30490688</v>
      </c>
      <c r="S112" s="9">
        <f>O66</f>
        <v>4282965</v>
      </c>
      <c r="T112" s="5"/>
    </row>
    <row r="113" spans="6:20" ht="15" hidden="1" customHeight="1">
      <c r="F113" s="34"/>
      <c r="H113" s="50"/>
      <c r="I113" s="50"/>
      <c r="J113" s="34"/>
      <c r="K113" s="34"/>
      <c r="L113" s="34"/>
      <c r="M113" s="34"/>
      <c r="O113" s="36"/>
      <c r="P113" s="29"/>
      <c r="Q113" s="3"/>
      <c r="R113" s="9" t="e">
        <f>R111-R112</f>
        <v>#REF!</v>
      </c>
      <c r="S113" s="9" t="e">
        <f>S111-S112</f>
        <v>#REF!</v>
      </c>
      <c r="T113" s="3"/>
    </row>
    <row r="114" spans="6:20" ht="15" hidden="1" customHeight="1">
      <c r="F114" s="34"/>
      <c r="H114" s="50"/>
      <c r="I114" s="50"/>
      <c r="J114" s="34"/>
      <c r="K114" s="34"/>
      <c r="L114" s="34"/>
      <c r="M114" s="34"/>
      <c r="O114" s="36"/>
      <c r="P114" s="29"/>
    </row>
    <row r="115" spans="6:20" ht="15" hidden="1" customHeight="1">
      <c r="F115" s="34"/>
      <c r="H115" s="50"/>
      <c r="I115" s="50"/>
      <c r="J115" s="34"/>
      <c r="K115" s="34"/>
      <c r="L115" s="34"/>
      <c r="M115" s="34"/>
      <c r="O115" s="36"/>
      <c r="P115" s="29"/>
    </row>
    <row r="116" spans="6:20" ht="15" hidden="1" customHeight="1">
      <c r="F116" s="34"/>
      <c r="H116" s="50"/>
      <c r="I116" s="50"/>
      <c r="J116" s="34"/>
      <c r="K116" s="34"/>
      <c r="L116" s="34"/>
      <c r="M116" s="34"/>
      <c r="O116" s="36"/>
      <c r="P116" s="29"/>
      <c r="T116" s="3"/>
    </row>
    <row r="117" spans="6:20" ht="15" hidden="1" customHeight="1">
      <c r="F117" s="34"/>
      <c r="H117" s="50"/>
      <c r="I117" s="50"/>
      <c r="J117" s="34"/>
      <c r="K117" s="34"/>
      <c r="L117" s="34"/>
      <c r="M117" s="34"/>
      <c r="O117" s="36"/>
      <c r="P117" s="29"/>
    </row>
    <row r="118" spans="6:20" ht="15" hidden="1" customHeight="1">
      <c r="F118" s="34"/>
      <c r="H118" s="50"/>
      <c r="I118" s="50"/>
      <c r="J118" s="34"/>
      <c r="K118" s="34"/>
      <c r="L118" s="34"/>
      <c r="M118" s="34"/>
      <c r="O118" s="36"/>
      <c r="P118" s="29"/>
    </row>
    <row r="119" spans="6:20" ht="15" hidden="1" customHeight="1">
      <c r="F119" s="34"/>
      <c r="H119" s="50"/>
      <c r="I119" s="50"/>
      <c r="J119" s="34"/>
      <c r="K119" s="34"/>
      <c r="L119" s="34"/>
      <c r="M119" s="34"/>
      <c r="O119" s="36"/>
      <c r="P119" s="29"/>
    </row>
    <row r="120" spans="6:20" ht="15.75" hidden="1" customHeight="1">
      <c r="F120" s="34"/>
      <c r="H120" s="50"/>
      <c r="I120" s="50"/>
      <c r="J120" s="34"/>
      <c r="K120" s="34"/>
      <c r="L120" s="34"/>
      <c r="M120" s="34"/>
      <c r="O120" s="36"/>
      <c r="P120" s="29"/>
    </row>
    <row r="121" spans="6:20" ht="15.75" hidden="1" customHeight="1">
      <c r="F121" s="34"/>
      <c r="H121" s="50"/>
      <c r="I121" s="50"/>
      <c r="J121" s="34"/>
      <c r="K121" s="34"/>
      <c r="L121" s="34"/>
      <c r="M121" s="34"/>
      <c r="O121" s="36"/>
      <c r="P121" s="29"/>
    </row>
    <row r="122" spans="6:20" ht="15.75" hidden="1" customHeight="1">
      <c r="F122" s="34"/>
      <c r="H122" s="50"/>
      <c r="I122" s="50"/>
      <c r="J122" s="34"/>
      <c r="K122" s="34"/>
      <c r="L122" s="34"/>
      <c r="M122" s="34"/>
      <c r="O122" s="36"/>
      <c r="P122" s="29"/>
    </row>
    <row r="123" spans="6:20" ht="15.75" hidden="1" customHeight="1">
      <c r="F123" s="34"/>
      <c r="H123" s="50"/>
      <c r="I123" s="50"/>
      <c r="J123" s="34"/>
      <c r="K123" s="34"/>
      <c r="L123" s="34"/>
      <c r="M123" s="34"/>
      <c r="O123" s="36"/>
      <c r="P123" s="29"/>
    </row>
    <row r="124" spans="6:20" ht="15.75" hidden="1" customHeight="1">
      <c r="F124" s="34"/>
      <c r="H124" s="50"/>
      <c r="I124" s="50"/>
      <c r="J124" s="34"/>
      <c r="K124" s="34"/>
      <c r="L124" s="34"/>
      <c r="M124" s="34"/>
      <c r="O124" s="36"/>
      <c r="P124" s="29"/>
    </row>
    <row r="125" spans="6:20" ht="15.75" hidden="1" customHeight="1">
      <c r="F125" s="34"/>
      <c r="H125" s="50"/>
      <c r="I125" s="50"/>
      <c r="J125" s="34"/>
      <c r="K125" s="34"/>
      <c r="L125" s="34"/>
      <c r="M125" s="34"/>
      <c r="O125" s="36"/>
      <c r="P125" s="29"/>
    </row>
    <row r="126" spans="6:20" ht="15.75" hidden="1" customHeight="1">
      <c r="F126" s="34"/>
      <c r="H126" s="50"/>
      <c r="I126" s="50"/>
      <c r="J126" s="34"/>
      <c r="K126" s="34"/>
      <c r="L126" s="34"/>
      <c r="M126" s="34"/>
      <c r="O126" s="36"/>
      <c r="P126" s="29"/>
    </row>
    <row r="127" spans="6:20" ht="15.75" hidden="1" customHeight="1">
      <c r="F127" s="34"/>
      <c r="H127" s="50"/>
      <c r="I127" s="50"/>
      <c r="J127" s="34"/>
      <c r="K127" s="34"/>
      <c r="L127" s="34"/>
      <c r="M127" s="34"/>
      <c r="O127" s="36"/>
      <c r="P127" s="29"/>
    </row>
    <row r="128" spans="6:20" ht="15.75" hidden="1" customHeight="1">
      <c r="F128" s="34"/>
      <c r="H128" s="50"/>
      <c r="I128" s="50"/>
      <c r="J128" s="34"/>
      <c r="K128" s="34"/>
      <c r="L128" s="34"/>
      <c r="M128" s="34"/>
      <c r="O128" s="36"/>
      <c r="P128" s="29"/>
    </row>
    <row r="129" spans="6:16" ht="15.75" hidden="1" customHeight="1">
      <c r="F129" s="34"/>
      <c r="H129" s="50"/>
      <c r="I129" s="50"/>
      <c r="J129" s="34"/>
      <c r="K129" s="34"/>
      <c r="L129" s="34"/>
      <c r="M129" s="34"/>
      <c r="O129" s="36"/>
      <c r="P129" s="29"/>
    </row>
    <row r="130" spans="6:16" ht="15.75" hidden="1" customHeight="1">
      <c r="F130" s="34"/>
      <c r="H130" s="50"/>
      <c r="I130" s="50"/>
      <c r="J130" s="34"/>
      <c r="K130" s="34"/>
      <c r="L130" s="34"/>
      <c r="M130" s="34"/>
      <c r="O130" s="36"/>
      <c r="P130" s="29"/>
    </row>
    <row r="131" spans="6:16" ht="15.75" hidden="1" customHeight="1">
      <c r="F131" s="34"/>
      <c r="H131" s="50"/>
      <c r="I131" s="50"/>
      <c r="J131" s="34"/>
      <c r="K131" s="34"/>
      <c r="L131" s="34"/>
      <c r="M131" s="34"/>
      <c r="O131" s="36"/>
      <c r="P131" s="29"/>
    </row>
    <row r="132" spans="6:16" ht="15.75" hidden="1" customHeight="1">
      <c r="F132" s="34"/>
      <c r="H132" s="50"/>
      <c r="I132" s="50"/>
      <c r="J132" s="34"/>
      <c r="K132" s="34"/>
      <c r="L132" s="34"/>
      <c r="M132" s="34"/>
      <c r="O132" s="36"/>
      <c r="P132" s="29"/>
    </row>
    <row r="133" spans="6:16" ht="15.75" hidden="1" customHeight="1">
      <c r="F133" s="34"/>
      <c r="H133" s="50"/>
      <c r="I133" s="50"/>
      <c r="J133" s="34"/>
      <c r="K133" s="34"/>
      <c r="L133" s="34"/>
      <c r="M133" s="34"/>
      <c r="O133" s="36"/>
      <c r="P133" s="29"/>
    </row>
    <row r="134" spans="6:16" ht="15.75" hidden="1" customHeight="1">
      <c r="F134" s="34"/>
      <c r="H134" s="50"/>
      <c r="I134" s="50"/>
      <c r="J134" s="34"/>
      <c r="K134" s="34"/>
      <c r="L134" s="34"/>
      <c r="M134" s="34"/>
      <c r="O134" s="36"/>
      <c r="P134" s="29"/>
    </row>
    <row r="135" spans="6:16" ht="15.75" hidden="1" customHeight="1">
      <c r="F135" s="34"/>
      <c r="H135" s="50"/>
      <c r="I135" s="50"/>
      <c r="J135" s="34"/>
      <c r="K135" s="34"/>
      <c r="L135" s="34"/>
      <c r="M135" s="34"/>
      <c r="O135" s="36"/>
      <c r="P135" s="29"/>
    </row>
    <row r="136" spans="6:16" ht="15.75" hidden="1" customHeight="1">
      <c r="F136" s="34"/>
      <c r="H136" s="50"/>
      <c r="I136" s="50"/>
      <c r="J136" s="34"/>
      <c r="K136" s="34"/>
      <c r="L136" s="34"/>
      <c r="M136" s="34"/>
      <c r="O136" s="36"/>
      <c r="P136" s="29"/>
    </row>
    <row r="137" spans="6:16" ht="15.75" hidden="1" customHeight="1">
      <c r="F137" s="34"/>
      <c r="H137" s="50"/>
      <c r="I137" s="50"/>
      <c r="J137" s="34"/>
      <c r="K137" s="34"/>
      <c r="L137" s="34"/>
      <c r="M137" s="34"/>
      <c r="O137" s="36"/>
      <c r="P137" s="29"/>
    </row>
    <row r="138" spans="6:16" ht="15.75" hidden="1" customHeight="1">
      <c r="F138" s="34"/>
      <c r="H138" s="50"/>
      <c r="I138" s="50"/>
      <c r="J138" s="34"/>
      <c r="K138" s="34"/>
      <c r="L138" s="34"/>
      <c r="M138" s="34"/>
      <c r="O138" s="36"/>
      <c r="P138" s="29"/>
    </row>
    <row r="139" spans="6:16" ht="15.75" hidden="1" customHeight="1">
      <c r="F139" s="34"/>
      <c r="H139" s="50"/>
      <c r="I139" s="50"/>
      <c r="J139" s="34"/>
      <c r="K139" s="34"/>
      <c r="L139" s="34"/>
      <c r="M139" s="34"/>
      <c r="O139" s="36"/>
      <c r="P139" s="29"/>
    </row>
    <row r="140" spans="6:16" ht="15.75" hidden="1" customHeight="1">
      <c r="F140" s="34"/>
      <c r="H140" s="50"/>
      <c r="I140" s="50"/>
      <c r="J140" s="34"/>
      <c r="K140" s="34"/>
      <c r="L140" s="34"/>
      <c r="M140" s="34"/>
      <c r="O140" s="36"/>
      <c r="P140" s="29"/>
    </row>
    <row r="141" spans="6:16" ht="15.75" hidden="1" customHeight="1">
      <c r="F141" s="34"/>
      <c r="H141" s="50"/>
      <c r="I141" s="50"/>
      <c r="J141" s="34"/>
      <c r="K141" s="34"/>
      <c r="L141" s="34"/>
      <c r="M141" s="34"/>
      <c r="O141" s="36"/>
      <c r="P141" s="29"/>
    </row>
    <row r="142" spans="6:16" ht="15.75" hidden="1" customHeight="1">
      <c r="F142" s="34"/>
      <c r="H142" s="50"/>
      <c r="I142" s="50"/>
      <c r="J142" s="34"/>
      <c r="K142" s="34"/>
      <c r="L142" s="34"/>
      <c r="M142" s="34"/>
      <c r="O142" s="36"/>
      <c r="P142" s="29"/>
    </row>
    <row r="143" spans="6:16" ht="15.75" hidden="1" customHeight="1">
      <c r="F143" s="34"/>
      <c r="H143" s="50"/>
      <c r="I143" s="50"/>
      <c r="J143" s="34"/>
      <c r="K143" s="34"/>
      <c r="L143" s="34"/>
      <c r="M143" s="34"/>
      <c r="O143" s="36"/>
      <c r="P143" s="29"/>
    </row>
    <row r="144" spans="6:16" ht="15.75" hidden="1" customHeight="1">
      <c r="F144" s="34"/>
      <c r="H144" s="50"/>
      <c r="I144" s="50"/>
      <c r="J144" s="34"/>
      <c r="K144" s="34"/>
      <c r="L144" s="34"/>
      <c r="M144" s="34"/>
      <c r="O144" s="36"/>
      <c r="P144" s="29"/>
    </row>
    <row r="145" spans="6:16" ht="15.75" hidden="1" customHeight="1">
      <c r="F145" s="34"/>
      <c r="H145" s="50"/>
      <c r="I145" s="50"/>
      <c r="J145" s="34"/>
      <c r="K145" s="34"/>
      <c r="L145" s="34"/>
      <c r="M145" s="34"/>
      <c r="O145" s="36"/>
      <c r="P145" s="29"/>
    </row>
    <row r="146" spans="6:16" ht="15.75" hidden="1" customHeight="1">
      <c r="F146" s="34"/>
      <c r="H146" s="50"/>
      <c r="I146" s="50"/>
      <c r="J146" s="34"/>
      <c r="K146" s="34"/>
      <c r="L146" s="34"/>
      <c r="M146" s="34"/>
      <c r="O146" s="36"/>
      <c r="P146" s="29"/>
    </row>
    <row r="147" spans="6:16" ht="15.75" hidden="1" customHeight="1">
      <c r="F147" s="34"/>
      <c r="H147" s="50"/>
      <c r="I147" s="50"/>
      <c r="J147" s="34"/>
      <c r="K147" s="34"/>
      <c r="L147" s="34"/>
      <c r="M147" s="34"/>
      <c r="O147" s="36"/>
      <c r="P147" s="29"/>
    </row>
    <row r="148" spans="6:16" ht="15.75" hidden="1" customHeight="1">
      <c r="F148" s="34"/>
      <c r="H148" s="50"/>
      <c r="I148" s="50"/>
      <c r="J148" s="34"/>
      <c r="K148" s="34"/>
      <c r="L148" s="34"/>
      <c r="M148" s="34"/>
      <c r="O148" s="36"/>
      <c r="P148" s="29"/>
    </row>
    <row r="149" spans="6:16" ht="15.75" hidden="1" customHeight="1">
      <c r="F149" s="34"/>
      <c r="H149" s="50"/>
      <c r="I149" s="50"/>
      <c r="J149" s="34"/>
      <c r="K149" s="34"/>
      <c r="L149" s="34"/>
      <c r="M149" s="34"/>
      <c r="O149" s="36"/>
      <c r="P149" s="29"/>
    </row>
    <row r="150" spans="6:16" ht="15.75" hidden="1" customHeight="1">
      <c r="F150" s="34"/>
      <c r="H150" s="50"/>
      <c r="I150" s="50"/>
      <c r="J150" s="34"/>
      <c r="K150" s="34"/>
      <c r="L150" s="34"/>
      <c r="M150" s="34"/>
      <c r="O150" s="36"/>
      <c r="P150" s="29"/>
    </row>
    <row r="151" spans="6:16" ht="15.75" hidden="1" customHeight="1">
      <c r="F151" s="34"/>
      <c r="H151" s="50"/>
      <c r="I151" s="50"/>
      <c r="J151" s="34"/>
      <c r="K151" s="34"/>
      <c r="L151" s="34"/>
      <c r="M151" s="34"/>
      <c r="O151" s="36"/>
      <c r="P151" s="29"/>
    </row>
    <row r="152" spans="6:16" ht="15.75" hidden="1" customHeight="1">
      <c r="F152" s="34"/>
      <c r="H152" s="50"/>
      <c r="I152" s="50"/>
      <c r="J152" s="34"/>
      <c r="K152" s="34"/>
      <c r="L152" s="34"/>
      <c r="M152" s="34"/>
      <c r="O152" s="36"/>
      <c r="P152" s="29"/>
    </row>
    <row r="153" spans="6:16" ht="15.75" hidden="1" customHeight="1">
      <c r="F153" s="34"/>
      <c r="H153" s="50"/>
      <c r="I153" s="50"/>
      <c r="J153" s="34"/>
      <c r="K153" s="34"/>
      <c r="L153" s="34"/>
      <c r="M153" s="34"/>
      <c r="O153" s="36"/>
      <c r="P153" s="29"/>
    </row>
    <row r="154" spans="6:16" ht="15.75" hidden="1" customHeight="1">
      <c r="F154" s="34"/>
      <c r="H154" s="50"/>
      <c r="I154" s="50"/>
      <c r="J154" s="34"/>
      <c r="K154" s="34"/>
      <c r="L154" s="34"/>
      <c r="M154" s="34"/>
      <c r="O154" s="36"/>
      <c r="P154" s="29"/>
    </row>
    <row r="155" spans="6:16" ht="15.75" hidden="1" customHeight="1">
      <c r="F155" s="34"/>
      <c r="H155" s="50"/>
      <c r="I155" s="50"/>
      <c r="J155" s="34"/>
      <c r="K155" s="34"/>
      <c r="L155" s="34"/>
      <c r="M155" s="34"/>
      <c r="O155" s="36"/>
      <c r="P155" s="29"/>
    </row>
    <row r="156" spans="6:16" ht="15.75" hidden="1" customHeight="1">
      <c r="F156" s="34"/>
      <c r="H156" s="50"/>
      <c r="I156" s="50"/>
      <c r="J156" s="34"/>
      <c r="K156" s="34"/>
      <c r="L156" s="34"/>
      <c r="M156" s="34"/>
      <c r="O156" s="36"/>
      <c r="P156" s="29"/>
    </row>
    <row r="157" spans="6:16" ht="15.75" hidden="1" customHeight="1">
      <c r="F157" s="34"/>
      <c r="H157" s="50"/>
      <c r="I157" s="50"/>
      <c r="J157" s="34"/>
      <c r="K157" s="34"/>
      <c r="L157" s="34"/>
      <c r="M157" s="34"/>
      <c r="O157" s="36"/>
      <c r="P157" s="29"/>
    </row>
    <row r="158" spans="6:16" ht="15.75" hidden="1" customHeight="1">
      <c r="F158" s="34"/>
      <c r="H158" s="50"/>
      <c r="I158" s="50"/>
      <c r="J158" s="34"/>
      <c r="K158" s="34"/>
      <c r="L158" s="34"/>
      <c r="M158" s="34"/>
      <c r="O158" s="36"/>
      <c r="P158" s="29"/>
    </row>
    <row r="159" spans="6:16" ht="15.75" hidden="1" customHeight="1">
      <c r="F159" s="34"/>
      <c r="H159" s="50"/>
      <c r="I159" s="50"/>
      <c r="J159" s="34"/>
      <c r="K159" s="34"/>
      <c r="L159" s="34"/>
      <c r="M159" s="34"/>
      <c r="O159" s="36"/>
      <c r="P159" s="29"/>
    </row>
    <row r="160" spans="6:16" ht="15.75" hidden="1" customHeight="1">
      <c r="F160" s="34"/>
      <c r="H160" s="50"/>
      <c r="I160" s="50"/>
      <c r="J160" s="34"/>
      <c r="K160" s="34"/>
      <c r="L160" s="34"/>
      <c r="M160" s="34"/>
      <c r="O160" s="36"/>
      <c r="P160" s="29"/>
    </row>
    <row r="161" spans="6:16" ht="15.75" hidden="1" customHeight="1">
      <c r="F161" s="34"/>
      <c r="H161" s="50"/>
      <c r="I161" s="50"/>
      <c r="J161" s="34"/>
      <c r="K161" s="34"/>
      <c r="L161" s="34"/>
      <c r="M161" s="34"/>
      <c r="O161" s="36"/>
      <c r="P161" s="29"/>
    </row>
    <row r="162" spans="6:16" ht="15.75" hidden="1" customHeight="1">
      <c r="F162" s="34"/>
      <c r="H162" s="50"/>
      <c r="I162" s="50"/>
      <c r="J162" s="34"/>
      <c r="K162" s="34"/>
      <c r="L162" s="34"/>
      <c r="M162" s="34"/>
      <c r="O162" s="36"/>
      <c r="P162" s="29"/>
    </row>
    <row r="163" spans="6:16" ht="15.75" hidden="1" customHeight="1">
      <c r="F163" s="34"/>
      <c r="H163" s="50"/>
      <c r="I163" s="50"/>
      <c r="J163" s="34"/>
      <c r="K163" s="34"/>
      <c r="L163" s="34"/>
      <c r="M163" s="34"/>
      <c r="O163" s="36"/>
      <c r="P163" s="29"/>
    </row>
    <row r="164" spans="6:16" ht="15.75" hidden="1" customHeight="1">
      <c r="F164" s="34"/>
      <c r="H164" s="50"/>
      <c r="I164" s="50"/>
      <c r="J164" s="34"/>
      <c r="K164" s="34"/>
      <c r="L164" s="34"/>
      <c r="M164" s="34"/>
      <c r="O164" s="36"/>
      <c r="P164" s="29"/>
    </row>
    <row r="165" spans="6:16" ht="15.75" hidden="1" customHeight="1">
      <c r="F165" s="34"/>
      <c r="H165" s="50"/>
      <c r="I165" s="50"/>
      <c r="J165" s="34"/>
      <c r="K165" s="34"/>
      <c r="L165" s="34"/>
      <c r="M165" s="34"/>
      <c r="O165" s="36"/>
      <c r="P165" s="29"/>
    </row>
    <row r="166" spans="6:16" ht="15.75" hidden="1" customHeight="1">
      <c r="F166" s="34"/>
      <c r="H166" s="50"/>
      <c r="I166" s="50"/>
      <c r="J166" s="34"/>
      <c r="K166" s="34"/>
      <c r="L166" s="34"/>
      <c r="M166" s="34"/>
      <c r="O166" s="36"/>
      <c r="P166" s="29"/>
    </row>
    <row r="167" spans="6:16" ht="15.75" hidden="1" customHeight="1">
      <c r="F167" s="34"/>
      <c r="H167" s="50"/>
      <c r="I167" s="50"/>
      <c r="J167" s="34"/>
      <c r="K167" s="34"/>
      <c r="L167" s="34"/>
      <c r="M167" s="34"/>
      <c r="O167" s="36"/>
      <c r="P167" s="29"/>
    </row>
    <row r="168" spans="6:16" ht="15.75" hidden="1" customHeight="1">
      <c r="F168" s="34"/>
      <c r="H168" s="50"/>
      <c r="I168" s="50"/>
      <c r="J168" s="34"/>
      <c r="K168" s="34"/>
      <c r="L168" s="34"/>
      <c r="M168" s="34"/>
      <c r="O168" s="36"/>
      <c r="P168" s="29"/>
    </row>
    <row r="169" spans="6:16" ht="15.75" hidden="1" customHeight="1">
      <c r="F169" s="34"/>
      <c r="H169" s="50"/>
      <c r="I169" s="50"/>
      <c r="J169" s="34"/>
      <c r="K169" s="34"/>
      <c r="L169" s="34"/>
      <c r="M169" s="34"/>
      <c r="O169" s="36"/>
      <c r="P169" s="29"/>
    </row>
    <row r="170" spans="6:16" ht="15.75" hidden="1" customHeight="1">
      <c r="F170" s="34"/>
      <c r="H170" s="50"/>
      <c r="I170" s="50"/>
      <c r="J170" s="34"/>
      <c r="K170" s="34"/>
      <c r="L170" s="34"/>
      <c r="M170" s="34"/>
      <c r="O170" s="36"/>
      <c r="P170" s="29"/>
    </row>
    <row r="171" spans="6:16" ht="15.75" hidden="1" customHeight="1">
      <c r="F171" s="34"/>
      <c r="H171" s="50"/>
      <c r="I171" s="50"/>
      <c r="J171" s="34"/>
      <c r="K171" s="34"/>
      <c r="L171" s="34"/>
      <c r="M171" s="34"/>
      <c r="O171" s="36"/>
      <c r="P171" s="29"/>
    </row>
    <row r="172" spans="6:16" ht="15.75" hidden="1" customHeight="1">
      <c r="F172" s="34"/>
      <c r="H172" s="50"/>
      <c r="I172" s="50"/>
      <c r="J172" s="34"/>
      <c r="K172" s="34"/>
      <c r="L172" s="34"/>
      <c r="M172" s="34"/>
      <c r="O172" s="36"/>
      <c r="P172" s="29"/>
    </row>
    <row r="173" spans="6:16" ht="15.75" hidden="1" customHeight="1">
      <c r="F173" s="34"/>
      <c r="H173" s="50"/>
      <c r="I173" s="50"/>
      <c r="J173" s="34"/>
      <c r="K173" s="34"/>
      <c r="L173" s="34"/>
      <c r="M173" s="34"/>
      <c r="O173" s="36"/>
      <c r="P173" s="29"/>
    </row>
    <row r="174" spans="6:16" ht="15.75" hidden="1" customHeight="1">
      <c r="F174" s="34"/>
      <c r="H174" s="50"/>
      <c r="I174" s="50"/>
      <c r="J174" s="34"/>
      <c r="K174" s="34"/>
      <c r="L174" s="34"/>
      <c r="M174" s="34"/>
      <c r="O174" s="36"/>
      <c r="P174" s="29"/>
    </row>
    <row r="175" spans="6:16" ht="15.75" hidden="1" customHeight="1">
      <c r="F175" s="34"/>
      <c r="H175" s="50"/>
      <c r="I175" s="50"/>
      <c r="J175" s="34"/>
      <c r="K175" s="34"/>
      <c r="L175" s="34"/>
      <c r="M175" s="34"/>
      <c r="O175" s="36"/>
      <c r="P175" s="29"/>
    </row>
    <row r="176" spans="6:16" ht="210.75" hidden="1" customHeight="1">
      <c r="F176" s="34"/>
      <c r="H176" s="50"/>
      <c r="I176" s="50"/>
      <c r="J176" s="34"/>
      <c r="K176" s="34"/>
      <c r="L176" s="34"/>
      <c r="M176" s="34"/>
      <c r="O176" s="36"/>
      <c r="P176" s="29"/>
    </row>
    <row r="177" spans="1:24" ht="210.75" hidden="1" customHeight="1">
      <c r="F177" s="34"/>
      <c r="H177" s="50"/>
      <c r="I177" s="50"/>
      <c r="J177" s="34"/>
      <c r="K177" s="34"/>
      <c r="L177" s="34"/>
      <c r="M177" s="34"/>
      <c r="O177" s="36"/>
    </row>
    <row r="178" spans="1:24" ht="34.5" hidden="1" customHeight="1">
      <c r="F178" s="34"/>
      <c r="H178" s="50"/>
      <c r="I178" s="50"/>
      <c r="J178" s="34"/>
      <c r="K178" s="34"/>
      <c r="L178" s="34"/>
      <c r="M178" s="34"/>
      <c r="O178" s="36"/>
    </row>
    <row r="179" spans="1:24" ht="47.25" hidden="1" customHeight="1">
      <c r="F179" s="34"/>
      <c r="H179" s="50"/>
      <c r="I179" s="50"/>
      <c r="J179" s="34"/>
      <c r="K179" s="34"/>
      <c r="L179" s="34"/>
      <c r="M179" s="34"/>
      <c r="O179" s="36"/>
    </row>
    <row r="180" spans="1:24" ht="42.75" hidden="1" customHeight="1">
      <c r="F180" s="34"/>
      <c r="H180" s="50"/>
      <c r="I180" s="50"/>
      <c r="J180" s="34"/>
      <c r="K180" s="34"/>
      <c r="L180" s="34"/>
      <c r="M180" s="34"/>
      <c r="O180" s="36"/>
    </row>
    <row r="181" spans="1:24" s="182" customFormat="1" ht="67.5" hidden="1" customHeight="1">
      <c r="A181" s="34"/>
      <c r="B181" s="181"/>
      <c r="C181" s="33"/>
      <c r="D181" s="33"/>
      <c r="E181" s="34"/>
      <c r="F181" s="34"/>
      <c r="G181" s="94"/>
      <c r="H181" s="50"/>
      <c r="I181" s="50"/>
      <c r="J181" s="34"/>
      <c r="K181" s="34"/>
      <c r="L181" s="34"/>
      <c r="M181" s="34"/>
      <c r="N181" s="34"/>
      <c r="O181" s="36"/>
      <c r="Q181" s="2"/>
      <c r="R181" s="2"/>
      <c r="S181" s="2"/>
      <c r="T181" s="2"/>
      <c r="U181" s="2"/>
      <c r="V181" s="2"/>
      <c r="W181" s="2"/>
      <c r="X181" s="2"/>
    </row>
    <row r="182" spans="1:24" s="182" customFormat="1" ht="60" hidden="1" customHeight="1">
      <c r="A182" s="34"/>
      <c r="B182" s="181"/>
      <c r="C182" s="33"/>
      <c r="D182" s="33"/>
      <c r="E182" s="34"/>
      <c r="F182" s="35"/>
      <c r="G182" s="94"/>
      <c r="H182" s="104"/>
      <c r="I182" s="104"/>
      <c r="J182" s="34"/>
      <c r="K182" s="34"/>
      <c r="L182" s="34"/>
      <c r="M182" s="34"/>
      <c r="N182" s="34"/>
      <c r="O182" s="36"/>
      <c r="Q182" s="2"/>
      <c r="R182" s="2"/>
      <c r="S182" s="2"/>
      <c r="T182" s="2"/>
      <c r="U182" s="2"/>
      <c r="V182" s="2"/>
      <c r="W182" s="2"/>
      <c r="X182" s="2"/>
    </row>
    <row r="183" spans="1:24" s="182" customFormat="1" ht="30" hidden="1" customHeight="1">
      <c r="A183" s="34"/>
      <c r="B183" s="181"/>
      <c r="C183" s="33"/>
      <c r="D183" s="33"/>
      <c r="E183" s="34"/>
      <c r="F183" s="35"/>
      <c r="G183" s="94"/>
      <c r="H183" s="104"/>
      <c r="I183" s="104"/>
      <c r="J183" s="34"/>
      <c r="K183" s="34"/>
      <c r="L183" s="34"/>
      <c r="M183" s="34"/>
      <c r="N183" s="34"/>
      <c r="O183" s="36"/>
      <c r="Q183" s="2"/>
      <c r="R183" s="2"/>
      <c r="S183" s="2"/>
      <c r="T183" s="2"/>
      <c r="U183" s="2"/>
      <c r="V183" s="2"/>
      <c r="W183" s="2"/>
      <c r="X183" s="2"/>
    </row>
    <row r="184" spans="1:24" s="182" customFormat="1" ht="78" hidden="1" customHeight="1">
      <c r="A184" s="34"/>
      <c r="B184" s="181"/>
      <c r="C184" s="33"/>
      <c r="D184" s="33"/>
      <c r="E184" s="34"/>
      <c r="F184" s="35"/>
      <c r="G184" s="94"/>
      <c r="H184" s="104"/>
      <c r="I184" s="104"/>
      <c r="J184" s="34"/>
      <c r="K184" s="34"/>
      <c r="L184" s="34"/>
      <c r="M184" s="103"/>
      <c r="N184" s="34"/>
      <c r="O184" s="105"/>
      <c r="Q184" s="2"/>
      <c r="R184" s="2"/>
      <c r="S184" s="2"/>
      <c r="T184" s="2"/>
      <c r="U184" s="2"/>
      <c r="V184" s="2"/>
      <c r="W184" s="2"/>
      <c r="X184" s="2"/>
    </row>
    <row r="185" spans="1:24" s="182" customFormat="1" ht="115.5" hidden="1" customHeight="1">
      <c r="A185" s="34"/>
      <c r="B185" s="181"/>
      <c r="C185" s="33"/>
      <c r="D185" s="33"/>
      <c r="E185" s="34"/>
      <c r="F185" s="35"/>
      <c r="G185" s="94"/>
      <c r="H185" s="104"/>
      <c r="I185" s="104"/>
      <c r="J185" s="141"/>
      <c r="K185" s="141"/>
      <c r="L185" s="141"/>
      <c r="M185" s="103"/>
      <c r="N185" s="34"/>
      <c r="O185" s="105"/>
      <c r="Q185" s="2"/>
      <c r="R185" s="2"/>
      <c r="S185" s="2"/>
      <c r="T185" s="2"/>
      <c r="U185" s="2"/>
      <c r="V185" s="2"/>
      <c r="W185" s="2"/>
      <c r="X185" s="2"/>
    </row>
    <row r="186" spans="1:24" hidden="1"/>
    <row r="187" spans="1:24" hidden="1"/>
    <row r="188" spans="1:24" hidden="1"/>
    <row r="189" spans="1:24" hidden="1"/>
    <row r="190" spans="1:24" hidden="1"/>
    <row r="191" spans="1:24" hidden="1"/>
    <row r="192" spans="1:24"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317" spans="2:24" s="34" customFormat="1">
      <c r="B317" s="181"/>
      <c r="C317" s="33"/>
      <c r="D317" s="33"/>
      <c r="F317" s="35"/>
      <c r="G317" s="94"/>
      <c r="H317" s="104"/>
      <c r="I317" s="104"/>
      <c r="J317" s="141"/>
      <c r="K317" s="141"/>
      <c r="L317" s="141"/>
      <c r="M317" s="103">
        <f>SUM(M10:M58)</f>
        <v>4384548</v>
      </c>
      <c r="O317" s="105"/>
      <c r="P317" s="182"/>
      <c r="Q317" s="2"/>
      <c r="R317" s="2"/>
      <c r="S317" s="2"/>
      <c r="T317" s="2"/>
      <c r="U317" s="2"/>
      <c r="V317" s="2"/>
      <c r="W317" s="2"/>
      <c r="X317" s="2"/>
    </row>
    <row r="318" spans="2:24" s="34" customFormat="1">
      <c r="B318" s="181"/>
      <c r="C318" s="33"/>
      <c r="D318" s="33"/>
      <c r="F318" s="35"/>
      <c r="G318" s="94"/>
      <c r="H318" s="104"/>
      <c r="I318" s="104"/>
      <c r="J318" s="141">
        <f>SUM(J10:J58)</f>
        <v>30724226</v>
      </c>
      <c r="K318" s="141"/>
      <c r="L318" s="141"/>
      <c r="M318" s="103">
        <f>M59-M317</f>
        <v>0</v>
      </c>
      <c r="O318" s="105"/>
      <c r="P318" s="182"/>
      <c r="Q318" s="2"/>
      <c r="R318" s="2"/>
      <c r="S318" s="2"/>
      <c r="T318" s="2"/>
      <c r="U318" s="2"/>
      <c r="V318" s="2"/>
      <c r="W318" s="2"/>
      <c r="X318" s="2"/>
    </row>
    <row r="319" spans="2:24" s="34" customFormat="1">
      <c r="B319" s="181"/>
      <c r="C319" s="33"/>
      <c r="D319" s="33"/>
      <c r="F319" s="35"/>
      <c r="G319" s="94"/>
      <c r="H319" s="104"/>
      <c r="I319" s="104"/>
      <c r="J319" s="141">
        <f>J59-J318</f>
        <v>0</v>
      </c>
      <c r="K319" s="141"/>
      <c r="L319" s="141"/>
      <c r="M319" s="103"/>
      <c r="O319" s="105"/>
      <c r="P319" s="182"/>
      <c r="Q319" s="2"/>
      <c r="R319" s="2"/>
      <c r="S319" s="2"/>
      <c r="T319" s="2"/>
      <c r="U319" s="2"/>
      <c r="V319" s="2"/>
      <c r="W319" s="2"/>
      <c r="X319" s="2"/>
    </row>
    <row r="324" spans="2:24" s="34" customFormat="1" ht="12.75" customHeight="1">
      <c r="B324" s="181"/>
      <c r="C324" s="33"/>
      <c r="D324" s="33"/>
      <c r="F324" s="35"/>
      <c r="G324" s="94"/>
      <c r="H324" s="104"/>
      <c r="I324" s="104"/>
      <c r="J324" s="141"/>
      <c r="K324" s="141"/>
      <c r="L324" s="141"/>
      <c r="M324" s="103"/>
      <c r="O324" s="105"/>
      <c r="P324" s="182"/>
      <c r="Q324" s="2"/>
      <c r="R324" s="2"/>
      <c r="S324" s="2"/>
      <c r="T324" s="2"/>
      <c r="U324" s="2"/>
      <c r="V324" s="2"/>
      <c r="W324" s="2"/>
      <c r="X324" s="2"/>
    </row>
  </sheetData>
  <sheetProtection selectLockedCells="1" selectUnlockedCells="1"/>
  <mergeCells count="21">
    <mergeCell ref="A59:B59"/>
    <mergeCell ref="P76:Q76"/>
    <mergeCell ref="R76:S76"/>
    <mergeCell ref="Q79:S79"/>
    <mergeCell ref="I7:I8"/>
    <mergeCell ref="J7:J8"/>
    <mergeCell ref="K7:K8"/>
    <mergeCell ref="L7:L8"/>
    <mergeCell ref="M7:M8"/>
    <mergeCell ref="N7:N8"/>
    <mergeCell ref="A3:P3"/>
    <mergeCell ref="A4:P4"/>
    <mergeCell ref="A7:A8"/>
    <mergeCell ref="B7:B8"/>
    <mergeCell ref="C7:C8"/>
    <mergeCell ref="D7:D8"/>
    <mergeCell ref="E7:E8"/>
    <mergeCell ref="F7:F8"/>
    <mergeCell ref="G7:G8"/>
    <mergeCell ref="H7:H8"/>
    <mergeCell ref="O7:P7"/>
  </mergeCells>
  <printOptions horizontalCentered="1"/>
  <pageMargins left="0.23622047244094491" right="0.23622047244094491" top="0.74803149606299213" bottom="0.74803149606299213" header="0.31496062992125984" footer="0.31496062992125984"/>
  <pageSetup paperSize="9" scale="35" fitToHeight="0" orientation="landscape"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emplate/>
  <TotalTime>1454</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anexa fara 100%</vt:lpstr>
      <vt:lpstr>100%</vt:lpstr>
      <vt:lpstr>'100%'!Print_Area</vt:lpstr>
      <vt:lpstr>'anexa fara 100%'!Print_Area</vt:lpstr>
      <vt:lpstr>'100%'!Print_Titles</vt:lpstr>
      <vt:lpstr>'anexa fara 100%'!Print_Titles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dc:creator>
  <cp:keywords/>
  <dc:description/>
  <cp:lastModifiedBy>FLORIN ZAMFIROIU</cp:lastModifiedBy>
  <cp:revision>412</cp:revision>
  <cp:lastPrinted>2022-08-09T08:27:46Z</cp:lastPrinted>
  <dcterms:created xsi:type="dcterms:W3CDTF">2009-04-16T08:32:48Z</dcterms:created>
  <dcterms:modified xsi:type="dcterms:W3CDTF">2022-08-09T08:30:02Z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