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firstSheet="2" activeTab="2"/>
  </bookViews>
  <sheets>
    <sheet name="Fundamentare" sheetId="1" r:id="rId1"/>
    <sheet name="BUGET BASS" sheetId="2" r:id="rId2"/>
    <sheet name="Form definitiv" sheetId="3" r:id="rId3"/>
  </sheets>
  <definedNames>
    <definedName name="_xlnm.Print_Area" localSheetId="2">'Form definitiv'!$A$1:$E$361</definedName>
    <definedName name="_xlnm.Print_Area">'Form definitiv'!$A$1:$E$332</definedName>
    <definedName name="_xlnm.Print_Titles" localSheetId="2">'Form definitiv'!$8:$14</definedName>
  </definedNames>
  <calcPr fullCalcOnLoad="1"/>
</workbook>
</file>

<file path=xl/sharedStrings.xml><?xml version="1.0" encoding="utf-8"?>
<sst xmlns="http://schemas.openxmlformats.org/spreadsheetml/2006/main" count="1113" uniqueCount="820">
  <si>
    <t>Nr. bilete tratament si odihna - accidente-  mii bilete</t>
  </si>
  <si>
    <t>Tarif bilet  tratament si odihna - asigurari - mii lei/bilet</t>
  </si>
  <si>
    <t>Tarif bilet  tratament si odihna -  accidente munca  - mii lei/bilet</t>
  </si>
  <si>
    <t xml:space="preserve">   din care:</t>
  </si>
  <si>
    <t>Cuantum mediu ajutor deces asigurati, persoane dependente -  lei  (75% din salariu mediu brut pe ec)</t>
  </si>
  <si>
    <t>Cuantum mediu ajutor deces pensionari, persoane dependente -  lei  (95% din salariu mediu brut pe ec)</t>
  </si>
  <si>
    <t>Numar om zile incapacitate boala obisnuita pe an-mii</t>
  </si>
  <si>
    <t>Numar zile incapacitate/an pt. maternitate si ingrijire copil bolnav- mii</t>
  </si>
  <si>
    <t>Nr. mediu beneficiari indemnizatie crestere copil 2 ani -  pers.-</t>
  </si>
  <si>
    <t xml:space="preserve">Nr. mediu ajutoare deces asigurati-mii </t>
  </si>
  <si>
    <t>Nr. mediu ajutoare deces pensionari-mii</t>
  </si>
  <si>
    <t>Nr. om zile incapacitate pe an boala profesionala si accident de munca-mii</t>
  </si>
  <si>
    <t>Nr. beneficiari indemniz. pt. trecerea temporara in alt loc munca (accidente)-pers.</t>
  </si>
  <si>
    <t>Nr. beneficiari  indemniz.pt. reducerea timpului de lucru (accidente) -pers.</t>
  </si>
  <si>
    <t xml:space="preserve">Nr. beneficiari despagubiri in caz de deces (accidente) </t>
  </si>
  <si>
    <t>Nr.benef.de indemnizatii pe durata cursurilor de calificare si de reconversie (accidente)</t>
  </si>
  <si>
    <t>Nr. benef. compensatii pentru atingerea integritatii (accidente) -  mii</t>
  </si>
  <si>
    <t>Nr.mediu beneficiari prestatii reabilitare medicala</t>
  </si>
  <si>
    <t>Cost mediu prestatii reabil. medicala</t>
  </si>
  <si>
    <t>Nr. mediu beneficiari cursuri calificare sau reconversie</t>
  </si>
  <si>
    <t>Cost mediu cursuri calificare</t>
  </si>
  <si>
    <t xml:space="preserve">Cota contributie de asigurari sociale angajat </t>
  </si>
  <si>
    <t xml:space="preserve">Cota contributie asigurari sociale de stat angajator  </t>
  </si>
  <si>
    <t xml:space="preserve">Cota contributie de asigurari de somaj angajat </t>
  </si>
  <si>
    <t xml:space="preserve">Cota contributie somaj angajator   </t>
  </si>
  <si>
    <t xml:space="preserve">Cota contributie sanatate angajat </t>
  </si>
  <si>
    <t>Cota contributie sanatate angajator</t>
  </si>
  <si>
    <t xml:space="preserve">Cota contributie accidente de munca si boli profesionale angajator </t>
  </si>
  <si>
    <t>Cota de contributie concedii si indemnizatii</t>
  </si>
  <si>
    <t xml:space="preserve">               FUNDAMENTAREA     CHELTUIELILOR</t>
  </si>
  <si>
    <t xml:space="preserve">                           BUGETULUI  ASIGURARILOR  SOCIALE  DE  STAT</t>
  </si>
  <si>
    <t>PE ANUL 2007</t>
  </si>
  <si>
    <t>Denumire  indicator</t>
  </si>
  <si>
    <t>CHELTUIELI  - TOTAL (A+B)</t>
  </si>
  <si>
    <t xml:space="preserve">               din care:</t>
  </si>
  <si>
    <t xml:space="preserve">  A)   CHELTUIELILE SISTEMULUI ASIGURARILOR  SOCIALE DE STAT</t>
  </si>
  <si>
    <t xml:space="preserve">I. Cheltuieli cu pensiile  TOTAL ( la+ lb )    </t>
  </si>
  <si>
    <t>Ia.   Pensii de asigurari sociale (a*b*12 luni )</t>
  </si>
  <si>
    <t>a - numar mediu pensionari asigurari sociale de stat - mii pers.-</t>
  </si>
  <si>
    <t>b - pensia medie -lei/luna-</t>
  </si>
  <si>
    <t>Ib Indemnizatii insotitor</t>
  </si>
  <si>
    <t>a - numar mediu beneficiari -  persoane</t>
  </si>
  <si>
    <t xml:space="preserve">b - indemnizatie medie lunara -lei  </t>
  </si>
  <si>
    <t>II.   Indemnizatii pt. incapacitate  temp. de munca  din cauza de boala obisnuita sau accident in afara muncii inclusiv contributia de asigurari de sanatate (IIa+IIb)</t>
  </si>
  <si>
    <t>II a -  Indemnizatii pentru incapacitate temporara de munca din cauza de boala obisnuita sau accident in afara muncii (a*b)</t>
  </si>
  <si>
    <t>a - numar om zile incapacitate pe an-mii</t>
  </si>
  <si>
    <t>b - indemnizatia medie zilnica -lei-</t>
  </si>
  <si>
    <t>IIb -  Contributia la asigurarile sociale  de sanatate pt. persoanele  aflate in conc medical (a*b)</t>
  </si>
  <si>
    <t>a - nr.total  zile om  incapacitate pe an  -mii</t>
  </si>
  <si>
    <t xml:space="preserve">b - contributia /zi de incapacitate - lei   </t>
  </si>
  <si>
    <t>III. Indemnizatii pt.concedii maternitate si ingrijire copil  bolnav inclusiv contributia la asigurarile sociale de sanatate (IIIa+IIIb)</t>
  </si>
  <si>
    <t xml:space="preserve">IIIa -   Indemnizatii pentru concedii de maternitate si ingrijire copil bolnav (a*b) </t>
  </si>
  <si>
    <t>a - numar zile incapacitate/an- mii</t>
  </si>
  <si>
    <t xml:space="preserve">b - indemnizatia medie zilnica -lei-   </t>
  </si>
  <si>
    <t xml:space="preserve">IIIb - Contributia  la asigurarile sociale  de sanatate pt. persoanele aflate in concediu de maternitate si ingrijire copil bolnav       (a*b) </t>
  </si>
  <si>
    <t xml:space="preserve">IV.  Indemnizatie  crestere copil pana la  2 ani, inclusiv contributia la asigurarile sociale de sanatate (IVa+IVb) </t>
  </si>
  <si>
    <t xml:space="preserve">IVa.   Indemnizatie  crestere copil pana la varsta de  2 ani (a*b*12 luni)   </t>
  </si>
  <si>
    <t>a - nr. mediu beneficiari -  pers.-</t>
  </si>
  <si>
    <t xml:space="preserve">b - indemnizatie medie lunara -lei-   </t>
  </si>
  <si>
    <t>IV b. -  Contributia  la asigurarile sociale de sanatate pt. pers. aflate in concediu crestere copil pana la 2 ani  (a*b)</t>
  </si>
  <si>
    <t xml:space="preserve">b - contributie medie lunara -lei-   </t>
  </si>
  <si>
    <t xml:space="preserve">V.   Ajutoare de deces  asigurati (a*b)    </t>
  </si>
  <si>
    <t>a - numar de ajutoare -mii-</t>
  </si>
  <si>
    <t xml:space="preserve">b - ajutor mediu -lei- </t>
  </si>
  <si>
    <t xml:space="preserve">Vl.  Ajutoare de deces si proteze  pensionari (a*b) +c      </t>
  </si>
  <si>
    <t xml:space="preserve">b - ajutor mediu -lei-    </t>
  </si>
  <si>
    <t>c - proteze</t>
  </si>
  <si>
    <t>A. Total cap.68.03 "Asigurari si asistenta sociala"  (a+b+c) -  mii lei</t>
  </si>
  <si>
    <t xml:space="preserve">      PROIECTE CU FINANTARE DIN FONDURI EXTERNE NERAMBURSABILE AFERENTE CADRULUI FINANCIAR 2014-2020   *)</t>
  </si>
  <si>
    <t>CHELTUIELI AFERENTE PROGRAMELOR CU FINANTARE RAMBURSABILA **)</t>
  </si>
  <si>
    <t>**) In cazul in care nu exista pozitii bugetare pentru aceste titluri, se vor elimina din cartus</t>
  </si>
  <si>
    <t xml:space="preserve">           familia sa</t>
  </si>
  <si>
    <t xml:space="preserve">           Locuinţa de serviciu folosită de salariat şi</t>
  </si>
  <si>
    <t xml:space="preserve">           muncă şi boli profesionale</t>
  </si>
  <si>
    <t xml:space="preserve">           Contribuţii de asigurări pentru accidente de</t>
  </si>
  <si>
    <t>VII.  Compensatii pentru  plata pensiilor refugiatilor greci</t>
  </si>
  <si>
    <t xml:space="preserve">VIII.   Tratament balnear si odihna  (a*b)   </t>
  </si>
  <si>
    <t>a - numar bilete-mii-</t>
  </si>
  <si>
    <t>b - tarif mediu-lei</t>
  </si>
  <si>
    <t>IX. Cheltuieli de functionare a sistemului de asigurari (1+2+3+4+5+6)</t>
  </si>
  <si>
    <t>1.Cheltuieli de personal - (a+b+c)</t>
  </si>
  <si>
    <t>numar de personal</t>
  </si>
  <si>
    <t>a)  Cheltuieli salariale in bani - articol</t>
  </si>
  <si>
    <t xml:space="preserve">            salarii de baza</t>
  </si>
  <si>
    <t xml:space="preserve">            salarii de merit</t>
  </si>
  <si>
    <t xml:space="preserve">            indemnizatie de conducere</t>
  </si>
  <si>
    <t xml:space="preserve">            spor de vechime</t>
  </si>
  <si>
    <t xml:space="preserve">            sporuri pentru conditii de munca</t>
  </si>
  <si>
    <t xml:space="preserve">            alte sporuri</t>
  </si>
  <si>
    <t xml:space="preserve">            ore suplimentare</t>
  </si>
  <si>
    <t xml:space="preserve">            fond de premii</t>
  </si>
  <si>
    <t xml:space="preserve">            prima de vacanta</t>
  </si>
  <si>
    <t xml:space="preserve">            fond pentru posturi ocupate prin cumul</t>
  </si>
  <si>
    <t xml:space="preserve">            fond aferent platii cu ora</t>
  </si>
  <si>
    <t xml:space="preserve">            indemnizatii platite unor persoane din afara unitatii</t>
  </si>
  <si>
    <t xml:space="preserve">            indemnizatii de delegare</t>
  </si>
  <si>
    <t xml:space="preserve">            indemnizatii de detasare</t>
  </si>
  <si>
    <t xml:space="preserve">            alocatii pentru transportul la si de la locul de munca</t>
  </si>
  <si>
    <t xml:space="preserve">            alocatii pentru locuinte</t>
  </si>
  <si>
    <t xml:space="preserve">           alte drepturi salariale in bani</t>
  </si>
  <si>
    <t>b)  Cheltuieli salariale in natura</t>
  </si>
  <si>
    <t xml:space="preserve">            tichete de masa</t>
  </si>
  <si>
    <t xml:space="preserve">           norma de hrana</t>
  </si>
  <si>
    <t xml:space="preserve">           uniforme si echipament obligatoriu</t>
  </si>
  <si>
    <t xml:space="preserve">           locuinta de serviciu folosita de salariat si familia sa</t>
  </si>
  <si>
    <t xml:space="preserve">           transport la si de la locul de munca</t>
  </si>
  <si>
    <t xml:space="preserve">           alte drepturi salariale in natura</t>
  </si>
  <si>
    <t>c)  Contributii</t>
  </si>
  <si>
    <t xml:space="preserve">     c.a.s. </t>
  </si>
  <si>
    <t xml:space="preserve">     contributia la asigurarile pentru somaj</t>
  </si>
  <si>
    <t xml:space="preserve">     contributia la asigurarile de  sanatate </t>
  </si>
  <si>
    <t xml:space="preserve">      contributia la asigurarile pt. accidente de munca si boli profesionale  </t>
  </si>
  <si>
    <t xml:space="preserve">     contributii concedii si indemnizatii</t>
  </si>
  <si>
    <t>2.Bunuri si servicii - total</t>
  </si>
  <si>
    <t xml:space="preserve">         din care.</t>
  </si>
  <si>
    <t xml:space="preserve">Bunuri si servicii, </t>
  </si>
  <si>
    <t>din care:</t>
  </si>
  <si>
    <t xml:space="preserve">          -  furnituri de birou              </t>
  </si>
  <si>
    <t xml:space="preserve">          -  materiale pentru curatenie  </t>
  </si>
  <si>
    <t xml:space="preserve">          -  incalzit , iluminat si forta motrica</t>
  </si>
  <si>
    <t xml:space="preserve">          - apa, canal si salubritate</t>
  </si>
  <si>
    <t xml:space="preserve">          - carburanti si lubrefianti</t>
  </si>
  <si>
    <t xml:space="preserve">          - piese de schimb</t>
  </si>
  <si>
    <t xml:space="preserve">          - transport</t>
  </si>
  <si>
    <t xml:space="preserve">           -posta, telecomunicatii, radio, trv, internet</t>
  </si>
  <si>
    <t xml:space="preserve">           - materiale si prestari servicii cu caracter functional</t>
  </si>
  <si>
    <t xml:space="preserve">               din total alineat: buget</t>
  </si>
  <si>
    <t xml:space="preserve">                                       componenta locala</t>
  </si>
  <si>
    <t xml:space="preserve">                    a - sume transmise prin posta - mii lei</t>
  </si>
  <si>
    <t xml:space="preserve">           - alte bunuri si servicii pentru intretinere si functionare </t>
  </si>
  <si>
    <t xml:space="preserve"> Reparatii curente</t>
  </si>
  <si>
    <t xml:space="preserve">            din total articol : buget</t>
  </si>
  <si>
    <t xml:space="preserve">                                   componenta locala</t>
  </si>
  <si>
    <t xml:space="preserve"> Hrana</t>
  </si>
  <si>
    <t xml:space="preserve">                - hrana pentru oameni</t>
  </si>
  <si>
    <t>Medicamente si materiale sanitare</t>
  </si>
  <si>
    <t xml:space="preserve">                -medicamente</t>
  </si>
  <si>
    <t xml:space="preserve">                -materiale sanitare             </t>
  </si>
  <si>
    <t xml:space="preserve"> Bunuri de natura obiectelor de inventar</t>
  </si>
  <si>
    <t xml:space="preserve">                - lenjerie si accesorii de pat</t>
  </si>
  <si>
    <t xml:space="preserve">                - alte obiecte de inventar</t>
  </si>
  <si>
    <t xml:space="preserve">                      din total articol : buget</t>
  </si>
  <si>
    <t xml:space="preserve">Deplasari, detasari, transferari </t>
  </si>
  <si>
    <t xml:space="preserve">        - deplasari interne, detasari, transferari </t>
  </si>
  <si>
    <t xml:space="preserve">       - deplasari in strainatate</t>
  </si>
  <si>
    <t>Finantare nationala</t>
  </si>
  <si>
    <t>Finantare externa nerambursabila</t>
  </si>
  <si>
    <t>Cheltuieli neeligibile</t>
  </si>
  <si>
    <t>A. Total cap.68.03 "Asigurari si asistenta sociala"- mii lei  (1+2)</t>
  </si>
  <si>
    <t>2.Programe  din Fondul Social European  (FSE)</t>
  </si>
  <si>
    <t>Carti publicatii si materiale documentare</t>
  </si>
  <si>
    <t>Consultanta si expertiza</t>
  </si>
  <si>
    <t xml:space="preserve">Pregatire profesionala  </t>
  </si>
  <si>
    <t>Protectia muncii</t>
  </si>
  <si>
    <t>Comisioane si alte costuri aferente imprumuturilor</t>
  </si>
  <si>
    <t xml:space="preserve">                 - comisioane si alte costuri afente imprumuturilor externe  </t>
  </si>
  <si>
    <t>Alte cheltuieli</t>
  </si>
  <si>
    <t xml:space="preserve">                 - protocol si reprezentare</t>
  </si>
  <si>
    <t xml:space="preserve">                 - chirii</t>
  </si>
  <si>
    <t xml:space="preserve">                 -  prestari si servicii pentru transmiterea drepturilor  (a*b)</t>
  </si>
  <si>
    <t xml:space="preserve">                         a - sume transmise prin posta - mii lei</t>
  </si>
  <si>
    <t xml:space="preserve">                          b  - comision postal   -%-</t>
  </si>
  <si>
    <t xml:space="preserve">                - executarea silita a creantelor bugetare</t>
  </si>
  <si>
    <t xml:space="preserve">                 - alte cheltuieli cu bunuri si servicii </t>
  </si>
  <si>
    <t xml:space="preserve">                        din total alineat: buget </t>
  </si>
  <si>
    <t xml:space="preserve">                                      componenta locala </t>
  </si>
  <si>
    <t>3. Rambursari de credite externe</t>
  </si>
  <si>
    <t>4. Cheltuieli de capital (a+b)</t>
  </si>
  <si>
    <t xml:space="preserve">           a. Active fixe</t>
  </si>
  <si>
    <t xml:space="preserve">                - constructii            </t>
  </si>
  <si>
    <t xml:space="preserve">                - masini, echipamente si mijloace de transport</t>
  </si>
  <si>
    <t xml:space="preserve">                - mobilier, aparatura birotica si alte active corporale</t>
  </si>
  <si>
    <t xml:space="preserve">                - alte active fixe     </t>
  </si>
  <si>
    <t xml:space="preserve">            b.Reparatii capitale</t>
  </si>
  <si>
    <t>din total cheltuieli de capital:</t>
  </si>
  <si>
    <t xml:space="preserve">                    CNPAS</t>
  </si>
  <si>
    <t xml:space="preserve">                    componenta locala</t>
  </si>
  <si>
    <t>5. Dobanzi aferente creditelor externe contractate de ordonatorii de credite</t>
  </si>
  <si>
    <t>6. Dobanda datorata trezoreriei statului</t>
  </si>
  <si>
    <t>B.  CHELTUIELI  ALE  SISTEMULUI ASIGURARILOR  PENTRU  ACCIDENTE  DE MUNCA SI BOLI PROFESIONALE</t>
  </si>
  <si>
    <t xml:space="preserve"> 1. Indemnizatii pentru incapacitate temporara de munca din cauza de accident de munca sau boala profesionala, inclusiv contributia la asigurarile sociale de sanatate si contributia pentru concedii si indemnizatii (1a+1b+1c)</t>
  </si>
  <si>
    <t xml:space="preserve">     1 a.    Indemnizatii pentru incapacitate temporara de munca din cauza de boala profesionala sau accident de munca                    (a*b)+(c*d*3)+(e*g*3)</t>
  </si>
  <si>
    <t xml:space="preserve">      ( art.33,  34,  35,  36,  40,  41,  42 )    (indemniz. pt. incap. temp. munca, pt. trecerea in alt loc de m-ca, reducerea timp de m-ca)</t>
  </si>
  <si>
    <t>a - numar om zile incapacitate pe an boala profesionala si accident-mii</t>
  </si>
  <si>
    <t xml:space="preserve">b - indemnizatie medie zilnica-lei-   </t>
  </si>
  <si>
    <t>c - numar beneficiari indemniz. pt. trecerea temporara in alt loc munca</t>
  </si>
  <si>
    <t xml:space="preserve">d - indemnizatie medie lunara   </t>
  </si>
  <si>
    <t>e - numar beneficiari  indemniz.pt. reducerea timpului de lucru</t>
  </si>
  <si>
    <t xml:space="preserve">g - indemnizatie medie lunara </t>
  </si>
  <si>
    <t xml:space="preserve">   1 b.    Contributia la  asigurarile sociale de sanatate pentru persoanele aflate in concediu medical din cauza de boala profesionala sau accident de munca (a*b)</t>
  </si>
  <si>
    <t xml:space="preserve">b - contributia /zi de incapacitate - lei    </t>
  </si>
  <si>
    <t xml:space="preserve">   1 c.    Contributia pentru concedii si indemnizatii asupra indemnizatiei pentru incapacitate de munca urmare a unui accident de munca sau boala profesionala </t>
  </si>
  <si>
    <t xml:space="preserve">    2.  Despagubiri in caz de deces  (a*b)    </t>
  </si>
  <si>
    <t xml:space="preserve">      (art. 46,  47,  48,  49)               </t>
  </si>
  <si>
    <t xml:space="preserve">a - numar de ajutoare </t>
  </si>
  <si>
    <t xml:space="preserve">    3.  Tratament balnear si odihna   ( a*b)    </t>
  </si>
  <si>
    <t xml:space="preserve">        ( art. 25  alin. ( 2,  3  si  4) )</t>
  </si>
  <si>
    <t>a - numar bilete -  mii</t>
  </si>
  <si>
    <t>b - tarif mediu- lei-</t>
  </si>
  <si>
    <t xml:space="preserve">   4.   Indemnizatii pe durata cursurilor de calificare si de reconversie (a*b*c)</t>
  </si>
  <si>
    <t xml:space="preserve">      (art.30 lit. c) ,  art. 31 (1) )</t>
  </si>
  <si>
    <t>a - numar beneficiari-</t>
  </si>
  <si>
    <t xml:space="preserve">b - cuantum indemnizatie - lei     </t>
  </si>
  <si>
    <t>c- nr.luni</t>
  </si>
  <si>
    <t xml:space="preserve">    5.    Compensatii pentru atingerea integritatii  (a*b)</t>
  </si>
  <si>
    <t xml:space="preserve">             (art.43,44,45)</t>
  </si>
  <si>
    <t xml:space="preserve">a - numar beneficiari - mii </t>
  </si>
  <si>
    <t xml:space="preserve">b - cuantum compensatie-lei      </t>
  </si>
  <si>
    <t xml:space="preserve">    6.   Prestatii si servicii pt reabilitare medicala (a*b)</t>
  </si>
  <si>
    <t xml:space="preserve">        ( art.21, art.22, art.23, art.24,  art. 25  alin.( 1),  27,  28 ,30 lit.a) )    </t>
  </si>
  <si>
    <t xml:space="preserve">  (materiale sanitare, proteze, orteze, alte materiale, tratam. medic., prestatii si servicii ptr. reabilitare medicala)</t>
  </si>
  <si>
    <t>a - numar mediu beneficiari</t>
  </si>
  <si>
    <t>b - cost mediu</t>
  </si>
  <si>
    <t xml:space="preserve">    7.   Costul cursurilor de calificare sau de reconversie trasferuri    (a*b)    </t>
  </si>
  <si>
    <t xml:space="preserve">         ( art. 30 lit.b ) )          </t>
  </si>
  <si>
    <t>a - numar beneficiari</t>
  </si>
  <si>
    <t>b-cost mediu  - lei</t>
  </si>
  <si>
    <t xml:space="preserve">    8.  Transferuri programe si proiecte de prevenire a accidentelor de munca si bolilor profesionale -mii lei</t>
  </si>
  <si>
    <t xml:space="preserve">         ( art. 63 lit.c ) </t>
  </si>
  <si>
    <t xml:space="preserve">     9. Servicii medicale pt accidente de munca si boli profesionale si reconversie profesionala</t>
  </si>
  <si>
    <t>b-cost mediu</t>
  </si>
  <si>
    <t xml:space="preserve">  10.  Cheltuieli de functionare a sistemului de asigurare pentru accidente de munca si boli profesionale (a+b+c+d+e)</t>
  </si>
  <si>
    <t xml:space="preserve">a).Cheltuieli de personal </t>
  </si>
  <si>
    <t xml:space="preserve">Cheltuieli salariale in bani </t>
  </si>
  <si>
    <t>Cheltuieli salariale in natura</t>
  </si>
  <si>
    <t>Contributii</t>
  </si>
  <si>
    <t xml:space="preserve">       c.a.s. </t>
  </si>
  <si>
    <t xml:space="preserve">       contributia la asigurarile pentru somaj</t>
  </si>
  <si>
    <t xml:space="preserve">       contributia la asigurarile de  sanatate </t>
  </si>
  <si>
    <t xml:space="preserve">        contributia la asigurarile pt. accidente de munca si boli profesionale</t>
  </si>
  <si>
    <t xml:space="preserve">       contributii concedii si indemnizatii</t>
  </si>
  <si>
    <t xml:space="preserve">b. Bunuri si servicii:               </t>
  </si>
  <si>
    <t xml:space="preserve">          -  furnituri de birou</t>
  </si>
  <si>
    <t xml:space="preserve">          -  materiale pentru curatenie</t>
  </si>
  <si>
    <t xml:space="preserve">           -posta, telecomunicatii, radio, tv, internet</t>
  </si>
  <si>
    <t xml:space="preserve">           - alte bunuri si servicii pentru intretinere si functionare       </t>
  </si>
  <si>
    <t>Bunuri de natura obiectelor de inventar</t>
  </si>
  <si>
    <t>din total alineat: buget</t>
  </si>
  <si>
    <t xml:space="preserve">                          componenta locala:</t>
  </si>
  <si>
    <t xml:space="preserve">           - deplasari interne, detasari, transferari </t>
  </si>
  <si>
    <t xml:space="preserve">           - deplasari in strainatate</t>
  </si>
  <si>
    <t>Pregatire profesionala</t>
  </si>
  <si>
    <t xml:space="preserve">                 - comisioane si alte costuri afente imprumuturilor externe</t>
  </si>
  <si>
    <t xml:space="preserve">                 -  prestari si servicii pentru transmiterea drepturilor </t>
  </si>
  <si>
    <t xml:space="preserve">                 - alte cheltuieli cu bunuri si servicii</t>
  </si>
  <si>
    <t xml:space="preserve">                       componenta locala:</t>
  </si>
  <si>
    <t>c. Rambursari de credite externe contractate de ordonatorii de credite</t>
  </si>
  <si>
    <t xml:space="preserve">d. Cheltuieli de capital                           </t>
  </si>
  <si>
    <t xml:space="preserve">               din care: </t>
  </si>
  <si>
    <t xml:space="preserve">        1. Active fixe:</t>
  </si>
  <si>
    <t xml:space="preserve">                - alte active fixe </t>
  </si>
  <si>
    <t xml:space="preserve">         2.Reparatii capitale</t>
  </si>
  <si>
    <t xml:space="preserve">                                    CNPAS</t>
  </si>
  <si>
    <t xml:space="preserve">                                     componenta locala</t>
  </si>
  <si>
    <t>e. Dobanzi aferente creditelor externe contractate de ordonatorii de credite</t>
  </si>
  <si>
    <t>VERIFICARE</t>
  </si>
  <si>
    <t>Bugetul asigurarilor sociale de stat</t>
  </si>
  <si>
    <t>1. Sistemul de asigurari sociale (cap.68.03)</t>
  </si>
  <si>
    <t xml:space="preserve">             - Asigurari si asistenta sociala</t>
  </si>
  <si>
    <t xml:space="preserve">             - Cheltuieli de functionare , din care</t>
  </si>
  <si>
    <t xml:space="preserve">                                   chelt. personal</t>
  </si>
  <si>
    <t xml:space="preserve">                                    bunuri si servicii</t>
  </si>
  <si>
    <t xml:space="preserve">                                    ramb. credite</t>
  </si>
  <si>
    <t xml:space="preserve">                                    chelt. capital</t>
  </si>
  <si>
    <t xml:space="preserve">                                    dobanzi af. cred. ext.</t>
  </si>
  <si>
    <t xml:space="preserve">                                    dobanzi dat.trezoreriei</t>
  </si>
  <si>
    <t>2. Sistemul de asigur.accidente si boli profesionale  (cap.69.03)</t>
  </si>
  <si>
    <t>TOTAL BUGET ASIG. SOCIALE DE STAT</t>
  </si>
  <si>
    <t>SITUATIA</t>
  </si>
  <si>
    <t xml:space="preserve"> fondurilor pentru organizarea si functionarea sistemului de asigurari sociale </t>
  </si>
  <si>
    <t>si sistemului de asigurari pentru accidente de munca si boli profesionale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</si>
  <si>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</si>
  <si>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Cheltuielile totale ale sistemului de asig.sociale</t>
  </si>
  <si>
    <t>Cheltuielile sistemului de asigurari sociale</t>
  </si>
  <si>
    <t>ponderea chelt in total cheltuieli    %</t>
  </si>
  <si>
    <t>*(ART.142 DIN L.19/2000   3%)</t>
  </si>
  <si>
    <t xml:space="preserve">               </t>
  </si>
  <si>
    <t>Veniturile sistemului de asig.accidente</t>
  </si>
  <si>
    <t>Cheltuielile sistemului de asigurari accidente</t>
  </si>
  <si>
    <t>ponderea chelt in total venituri   %</t>
  </si>
  <si>
    <t>*(ART.1116 DIN L.346/2002  3%)</t>
  </si>
  <si>
    <t>Realizari</t>
  </si>
  <si>
    <t>Program</t>
  </si>
  <si>
    <t>L .380/2005</t>
  </si>
  <si>
    <t xml:space="preserve">  </t>
  </si>
  <si>
    <t>2006 rectific I</t>
  </si>
  <si>
    <t>OG. 42/2006</t>
  </si>
  <si>
    <t>2006 rectific II</t>
  </si>
  <si>
    <t>OUG.90/2006</t>
  </si>
  <si>
    <t>OUG. 90/2006</t>
  </si>
  <si>
    <t>L 487/2006</t>
  </si>
  <si>
    <t xml:space="preserve">Propuneri </t>
  </si>
  <si>
    <t>Estimari</t>
  </si>
  <si>
    <t xml:space="preserve">mii lei </t>
  </si>
  <si>
    <t>mii lei</t>
  </si>
  <si>
    <t xml:space="preserve">2007 </t>
  </si>
  <si>
    <t>OUG91,L399</t>
  </si>
  <si>
    <t xml:space="preserve">Influente </t>
  </si>
  <si>
    <t>3=2-1</t>
  </si>
  <si>
    <t>HG1825/2006</t>
  </si>
  <si>
    <t xml:space="preserve"> MINISTERUL  MUNCII,  SOLIDARITATII  SOCIALE  SI  FAMILIEI  </t>
  </si>
  <si>
    <t>Cod 20</t>
  </si>
  <si>
    <t>BUGETUL  ASIGURARILOR SOCIALE DE STAT pe anul 2007</t>
  </si>
  <si>
    <t>Denumire indicator</t>
  </si>
  <si>
    <t>VENITURI  TOTAL</t>
  </si>
  <si>
    <t>CHELTUIELI-TOTAL</t>
  </si>
  <si>
    <t>CHELTUIELI CURENTE</t>
  </si>
  <si>
    <t xml:space="preserve">     CHELTUIELI DE PERSONAL</t>
  </si>
  <si>
    <t xml:space="preserve">     BUNURI SI SERVICII </t>
  </si>
  <si>
    <t xml:space="preserve">     DOBANZI</t>
  </si>
  <si>
    <t xml:space="preserve">      TRANSFERURI INTRE UNITATI ALE ADMINISTRATIEI PUBLICE</t>
  </si>
  <si>
    <t xml:space="preserve">       ALTE TRANSFERURI</t>
  </si>
  <si>
    <t>Creştere/</t>
  </si>
  <si>
    <t>Descreştere</t>
  </si>
  <si>
    <t xml:space="preserve">      ASISTENTA SOCIALA </t>
  </si>
  <si>
    <t>CHELTUIELI DE CAPITAL</t>
  </si>
  <si>
    <t xml:space="preserve">      ACTIVE NEFINANCIARE   </t>
  </si>
  <si>
    <t>OPERATIUNI FINANCIARE</t>
  </si>
  <si>
    <t xml:space="preserve">     RAMBURSARI DE CREDITE</t>
  </si>
  <si>
    <t xml:space="preserve">    Partea a III-a    CHELTUIELI SOCIAL CULTURALE</t>
  </si>
  <si>
    <t xml:space="preserve">     CHELTUIELI DE PERSONAL   </t>
  </si>
  <si>
    <t xml:space="preserve">      TRANSFERURI INTRE UNITATI ALE ADMINISTRATIEI PUBLICE </t>
  </si>
  <si>
    <t xml:space="preserve">       ALTE TRANSFERURI </t>
  </si>
  <si>
    <t xml:space="preserve">     ASISTENTA SOCIALA </t>
  </si>
  <si>
    <t xml:space="preserve">CHELTUIELI DE CAPITAL   </t>
  </si>
  <si>
    <t xml:space="preserve">      ACTIVE NEFINANCIARE  </t>
  </si>
  <si>
    <t xml:space="preserve">OPERATIUNI FINANCIARE    </t>
  </si>
  <si>
    <t xml:space="preserve">    RAMBURSARI DE CREDITE</t>
  </si>
  <si>
    <t xml:space="preserve">           Rambursari de credite externe</t>
  </si>
  <si>
    <t xml:space="preserve">                 Rambursari de credite externe contractate de OPC</t>
  </si>
  <si>
    <t xml:space="preserve">    ASIGURARI SI ASISTENTA SOCIALA</t>
  </si>
  <si>
    <t xml:space="preserve">CHELTUIELI CURENTE  </t>
  </si>
  <si>
    <t xml:space="preserve">     CHELTUIELI DE PERSONAL  </t>
  </si>
  <si>
    <t xml:space="preserve">            alte drepturi salariale in bani</t>
  </si>
  <si>
    <t xml:space="preserve"> Cheltuieli salariale in natura</t>
  </si>
  <si>
    <t xml:space="preserve">Contributii </t>
  </si>
  <si>
    <t xml:space="preserve">       Contributii de asigurari sociale de stat  </t>
  </si>
  <si>
    <t xml:space="preserve">     Contributii de asigurari de somaj  </t>
  </si>
  <si>
    <t xml:space="preserve">     Contributii de asigurari sociale de sanatate </t>
  </si>
  <si>
    <t xml:space="preserve">    Contributii de asigurari pentru accidente de munca si boli profesionale </t>
  </si>
  <si>
    <t xml:space="preserve">     Contributii pentru concedii si indemnizatii</t>
  </si>
  <si>
    <t xml:space="preserve">     BUNURI SI SERVICII</t>
  </si>
  <si>
    <t xml:space="preserve">Bunuri si servicii </t>
  </si>
  <si>
    <t xml:space="preserve">                Furnituri de birou</t>
  </si>
  <si>
    <t xml:space="preserve">                Materiale pentru curatenie</t>
  </si>
  <si>
    <t xml:space="preserve">B. Total cap.69.03 "Asigurari si asistenta sociala pentru accidente de munca si boli profesionale"                          </t>
  </si>
  <si>
    <t xml:space="preserve">                Incalzit,  iluminat si forta motrica</t>
  </si>
  <si>
    <t xml:space="preserve">                Apa, canal si salubritate</t>
  </si>
  <si>
    <t xml:space="preserve">               Carburanti si lubrefianti</t>
  </si>
  <si>
    <t xml:space="preserve">               Piese de schimb</t>
  </si>
  <si>
    <t xml:space="preserve">                Transport</t>
  </si>
  <si>
    <t xml:space="preserve">                Posta , telecomunicatii, radio, tv. , internet</t>
  </si>
  <si>
    <t>Realizări</t>
  </si>
  <si>
    <t>3.Indemnizatii pe durata cursurilor de calificare si de reconversie profesională (a*b*c)</t>
  </si>
  <si>
    <t xml:space="preserve">3. Costul cursurilor de calificare sau de reconversie profesională    (a*b)    </t>
  </si>
  <si>
    <t xml:space="preserve">                Materiale si prestari servicii cu caracter functional</t>
  </si>
  <si>
    <t xml:space="preserve">                Alte bunuri si servicii pentru intretinere si functionare</t>
  </si>
  <si>
    <t xml:space="preserve">Reparatii curente </t>
  </si>
  <si>
    <t xml:space="preserve">Hrana </t>
  </si>
  <si>
    <t xml:space="preserve">                  Hrana pentru oameni </t>
  </si>
  <si>
    <t xml:space="preserve">Medicamente si materiale sanitare </t>
  </si>
  <si>
    <t xml:space="preserve">                  Medicamente  </t>
  </si>
  <si>
    <t xml:space="preserve">                  Materiale sanitare</t>
  </si>
  <si>
    <t xml:space="preserve">                Lenjerie si accesorii de pat</t>
  </si>
  <si>
    <t xml:space="preserve">                Alte obiecte de inventar  </t>
  </si>
  <si>
    <t xml:space="preserve">Deplasari, detasari, transferari  </t>
  </si>
  <si>
    <t xml:space="preserve">                Deplasari interne, detasari, transferari   </t>
  </si>
  <si>
    <t xml:space="preserve">                Deplasari in strainatate</t>
  </si>
  <si>
    <t xml:space="preserve">Protectia muncii </t>
  </si>
  <si>
    <t xml:space="preserve">Comisioane  si alte costuri aferente imprumuturilor  </t>
  </si>
  <si>
    <t xml:space="preserve">                   Comisioane  si alte costuri aferente imprumuturilor externe    - (comis si dob. de la rambursari)</t>
  </si>
  <si>
    <t xml:space="preserve">Alte cheltuieli  </t>
  </si>
  <si>
    <t xml:space="preserve">                 Protocol si reprezentare   </t>
  </si>
  <si>
    <t xml:space="preserve">                 Chirii</t>
  </si>
  <si>
    <t xml:space="preserve">                 Prestari si servicii pentru transmiterea drepturilor </t>
  </si>
  <si>
    <t xml:space="preserve">                 Executarea silita a creantelor bugetare</t>
  </si>
  <si>
    <t xml:space="preserve">                Alte cheltuieli cu bunuri si servicii </t>
  </si>
  <si>
    <t xml:space="preserve">         Dobanzi aferente datoriei publice externe</t>
  </si>
  <si>
    <t xml:space="preserve">              Dobanzi aferente datoriei publice externe contractate de ordonatorii de credite</t>
  </si>
  <si>
    <t xml:space="preserve">         Alte dobanzi</t>
  </si>
  <si>
    <t xml:space="preserve">                Dobanda datorata trezoreriei statului</t>
  </si>
  <si>
    <t xml:space="preserve">    TRANSFERURI INTRE UNITATI ALE ADMINISTRATIEI PUBLICE</t>
  </si>
  <si>
    <t xml:space="preserve">               Transferuri curente</t>
  </si>
  <si>
    <t xml:space="preserve"> Cheltuieli cu pensiile - total    </t>
  </si>
  <si>
    <t xml:space="preserve"> Cheltuieli cu pensiile - total   </t>
  </si>
  <si>
    <t xml:space="preserve">   Pensii de asigurari sociale ( a*b*12 luni )</t>
  </si>
  <si>
    <t>A. Total cap.68.03 "Asigurari si asistenta sociala"   (1+2)  - mii lei</t>
  </si>
  <si>
    <t xml:space="preserve">1. Ajutoare de deces  asigurati (a*b)  </t>
  </si>
  <si>
    <t xml:space="preserve">2. Ajutoare de deces si proteze  pensionari   (a*b)+c      </t>
  </si>
  <si>
    <t xml:space="preserve">                        Transferuri din bugetul asigurarilor sociale de stat catre bugetul fondului national unic de asigurari sociale de sanatate</t>
  </si>
  <si>
    <t xml:space="preserve">   ASISTENTA SOCIALA -  (pensii, indemnizatii si ajutoare)</t>
  </si>
  <si>
    <t xml:space="preserve">            Asigurari sociale   (pensii,  greci)</t>
  </si>
  <si>
    <t xml:space="preserve">            Ajutoare sociale</t>
  </si>
  <si>
    <t xml:space="preserve">                    Ajutoare sociale in numerar   (indemnizatii, ajutoare)</t>
  </si>
  <si>
    <t xml:space="preserve">                    Ajutoare sociale in natura     ( tratament balnear)     </t>
  </si>
  <si>
    <t xml:space="preserve">      CHELTUIELI DE CAPITAL  </t>
  </si>
  <si>
    <t xml:space="preserve">      ACTIVE NEFINANCIARE     titlu </t>
  </si>
  <si>
    <t xml:space="preserve">             Active fixe </t>
  </si>
  <si>
    <t xml:space="preserve">                   Constructii </t>
  </si>
  <si>
    <t xml:space="preserve">                    Masini, echipamente si mijloace de transport  </t>
  </si>
  <si>
    <t xml:space="preserve">                    Mobilier, aparatura, birotica si alte active corporale  </t>
  </si>
  <si>
    <t xml:space="preserve">                    Alte active fixe  </t>
  </si>
  <si>
    <t xml:space="preserve">             Reparatii capitale                         71.03</t>
  </si>
  <si>
    <t xml:space="preserve">     OPERATIUNI FINANCIARE </t>
  </si>
  <si>
    <t xml:space="preserve">         RAMBURSARI DE CREDITE </t>
  </si>
  <si>
    <t xml:space="preserve">                Rambursari de credite externe   </t>
  </si>
  <si>
    <t xml:space="preserve">                     Rambursari de credite externe  contractate de ordonatorii  de credite </t>
  </si>
  <si>
    <t xml:space="preserve">   din total  capitol:</t>
  </si>
  <si>
    <t>Asigurari si asistenta sociala</t>
  </si>
  <si>
    <t xml:space="preserve">        Pensii si ajutoare pentru batranete  (pensii + greci)</t>
  </si>
  <si>
    <t xml:space="preserve">        Asistenta acordata persoanelor in varsta  (trat. balnear)</t>
  </si>
  <si>
    <t xml:space="preserve">Asistenta sociala in caz de boli si invaliditati </t>
  </si>
  <si>
    <t xml:space="preserve">                Asistenta sociala in caz de boli  ( indemnizatie boala)</t>
  </si>
  <si>
    <t>Asistenta sociala pentru familie si copii</t>
  </si>
  <si>
    <t>Ajutoare pentru urmasi   (ajutoare de deces  pensionari - sunt cuprinse si protezele)</t>
  </si>
  <si>
    <t xml:space="preserve">Alte cheltuieli in domeniu asigurarilor si asistentei sociale </t>
  </si>
  <si>
    <t xml:space="preserve">                 Cheltuieli cu transmiterea si plata drepturilor - paragraf  - ( comision posta)</t>
  </si>
  <si>
    <t xml:space="preserve">                 Alte cheltuieli de administrare fond  ( restul cheltuielilor de admin a fondului)</t>
  </si>
  <si>
    <t>ASIGURARI SI ASISTENTA SOCIALA PENTRU ACCIDENTE DE MUNCA SI BOLI PROFESIONALE</t>
  </si>
  <si>
    <t xml:space="preserve">  Cheltuieli salariale in natura</t>
  </si>
  <si>
    <t xml:space="preserve">       PLĂŢI EFECTUATE ÎN ANII PRECEDENŢI ŞI RECUPERATE ÎN ANUL CURENT</t>
  </si>
  <si>
    <t xml:space="preserve">           Alte bunuri şi servicii pentru întreţinere şi functionare</t>
  </si>
  <si>
    <t xml:space="preserve">           Materiale şi prestări de servicii cu caracter functional</t>
  </si>
  <si>
    <t xml:space="preserve">            Deplasări în străinătate</t>
  </si>
  <si>
    <t xml:space="preserve">            Deplasări interne, detaşări, transferări</t>
  </si>
  <si>
    <t xml:space="preserve">         b.  Reparatii capitale aferente activelor fixe -mii lei</t>
  </si>
  <si>
    <t xml:space="preserve">            b.Reparatii capitale aferente activelor fixe -mii lei</t>
  </si>
  <si>
    <t xml:space="preserve">Contributii  </t>
  </si>
  <si>
    <t xml:space="preserve">Contributii de asigurari sociale de stat  </t>
  </si>
  <si>
    <t xml:space="preserve">Contributii de asigurari de somaj </t>
  </si>
  <si>
    <t xml:space="preserve">Contributii de asigurari sociale de sanatate  </t>
  </si>
  <si>
    <t>Contributii de asigurari pentru accidente de munca si boli profesionale</t>
  </si>
  <si>
    <t>Contributii pentru concedii si indemnizatii</t>
  </si>
  <si>
    <t xml:space="preserve">    Bunuri si servicii  </t>
  </si>
  <si>
    <t xml:space="preserve">                Incalzit, iluminat si forta motrica</t>
  </si>
  <si>
    <t xml:space="preserve">                Posta, telecomunicatii, radio, tv, internet</t>
  </si>
  <si>
    <t xml:space="preserve">       Bunuri de natura obiectelor de inventar  </t>
  </si>
  <si>
    <t xml:space="preserve">       Deplasari, detasari, transferari </t>
  </si>
  <si>
    <t xml:space="preserve">                Deplasari în strainatate</t>
  </si>
  <si>
    <t xml:space="preserve">      Carti, publicatii si materiale documentare </t>
  </si>
  <si>
    <t xml:space="preserve">      Consultanta si expertiza</t>
  </si>
  <si>
    <t xml:space="preserve">      Pregatire profesionala  </t>
  </si>
  <si>
    <t xml:space="preserve">      Protectia muncii</t>
  </si>
  <si>
    <t xml:space="preserve">      Comisioane  si alte costuri aferente imprumuturilor</t>
  </si>
  <si>
    <t xml:space="preserve">             Comisioane  si alte costuri aferente imprumuturilor externe</t>
  </si>
  <si>
    <t xml:space="preserve">       Alte cheltuieli  </t>
  </si>
  <si>
    <t xml:space="preserve">                 Protocol si reprezentare  </t>
  </si>
  <si>
    <t xml:space="preserve">                Alte cheltuieli cu bunuri si servicii   </t>
  </si>
  <si>
    <t xml:space="preserve">    TRANSFERURI INTRE UNITATI ALE ADMINISTRATIEI PUBLICE   </t>
  </si>
  <si>
    <t xml:space="preserve">                       Transferuri din bug. asig.sociale de stat catre bug.fondului nat. unic de asig. soc. </t>
  </si>
  <si>
    <t xml:space="preserve">                       Transferuri din bug. asig.sociale de stat catre bug.fondului nat. unic de asig. soc. ( concedii si indemnizatii)</t>
  </si>
  <si>
    <t xml:space="preserve">          ALTE TRANSFERURI</t>
  </si>
  <si>
    <t xml:space="preserve">        1. Bunuri si servicii</t>
  </si>
  <si>
    <t xml:space="preserve">       3. Deplasari, detasari, transferari</t>
  </si>
  <si>
    <t xml:space="preserve">       2. Bunuri de natura obiectelor de inventar</t>
  </si>
  <si>
    <t xml:space="preserve">       9. Alte cheltuieli</t>
  </si>
  <si>
    <t xml:space="preserve">             protocol şi reprezentare</t>
  </si>
  <si>
    <t xml:space="preserve">             chirii</t>
  </si>
  <si>
    <t xml:space="preserve">             alte cheltuieli cu bunuri şi servicii</t>
  </si>
  <si>
    <t xml:space="preserve">             prestări şi servicii pentru transmiterea drepturilor</t>
  </si>
  <si>
    <t xml:space="preserve">           din total alineat: buget</t>
  </si>
  <si>
    <t xml:space="preserve">                              componenta locală</t>
  </si>
  <si>
    <t xml:space="preserve"> TITLUL IX      ASISTENTA SOCIALA    TOTAL   (1+2)</t>
  </si>
  <si>
    <t xml:space="preserve">1. ASIGURĂRI SOCIALE  </t>
  </si>
  <si>
    <t xml:space="preserve">01. CHELTUIELI CURENTE </t>
  </si>
  <si>
    <t>70. CHELTUIELI DE CAPITAL</t>
  </si>
  <si>
    <t>I CHELTUIELI DE PERSONAL</t>
  </si>
  <si>
    <t>II BUNURI ŞI SERVICII</t>
  </si>
  <si>
    <t>III DOBÂNZI</t>
  </si>
  <si>
    <t>A. Total cap.68.03 "Asigurari si asistenta sociala" -mii lei</t>
  </si>
  <si>
    <t>- mobilier, aparatura birotica si alte active corporale</t>
  </si>
  <si>
    <t>CHELTUIELI DE FUNCTIONARE A SISTEMULUI PUBLIC DE PENSII  (IA+IIA+III+VIII+IX)   %</t>
  </si>
  <si>
    <t>2b) indemnizaţii pentru incapacitate temporară de muncă în urma unui accident de muncă sau boală profesională</t>
  </si>
  <si>
    <t>1b) indemnizaţii pentru incapacitate temporară de muncă în urma unui accident de muncă sau boală profesională</t>
  </si>
  <si>
    <t xml:space="preserve"> VII  ALTE TRANSFERURI</t>
  </si>
  <si>
    <t>B. Total cap.69.03 "Asigurari si asistenta sociala pentru accidente de munca si boli profesionale"     -mii lei  (1+2+...+9)</t>
  </si>
  <si>
    <t>ALTE TRANSFERURI</t>
  </si>
  <si>
    <t>ASISTENTA SOCIALA</t>
  </si>
  <si>
    <t xml:space="preserve"> ACTIVE NEFINANCIARE</t>
  </si>
  <si>
    <t xml:space="preserve"> RAMBURSARI DE CREDITE </t>
  </si>
  <si>
    <t>TRANSFERURI INTRE UNITATI ALE ADMINISTRAŢIEI PUBLICE</t>
  </si>
  <si>
    <t>DOBÃNZI</t>
  </si>
  <si>
    <t>BUNURI SI SERVICII</t>
  </si>
  <si>
    <t xml:space="preserve"> CHELTUIELI  CURENTE</t>
  </si>
  <si>
    <t xml:space="preserve"> CHELTUIELI  DE CAPITAL</t>
  </si>
  <si>
    <t xml:space="preserve"> OPERATIUNI FINANCIARE</t>
  </si>
  <si>
    <t>B. Total cap. 69.03 " Asigurări şi asistenţă socială pentru accidente de muncă şi boli profesionale" (a+b) - mii lei</t>
  </si>
  <si>
    <t>Indemnizatii platite unor persoane din afara unitatii</t>
  </si>
  <si>
    <t>Prime de asigurare non-viata</t>
  </si>
  <si>
    <t>Executarea silita a creantelor bugetare</t>
  </si>
  <si>
    <t>Alte cheltuieli cu bunuri si servicii</t>
  </si>
  <si>
    <t>a) Contribuţii de asigurări sociale de sănătate pentru persoanele aflate în concediu pentru incapacitate temporară de muncă acordat în urma unui accident de muncă sau a unei boli profesionale. (1a*1b)</t>
  </si>
  <si>
    <t xml:space="preserve">      1a) cota de contribuţie de asigurări sociale de sănătate</t>
  </si>
  <si>
    <t>b) Contribuţii pentru concedii şi indemnizaţii ( 2a*2b)</t>
  </si>
  <si>
    <t xml:space="preserve">       2a) cota de contribuţie pentru concedii şi indemnizaţii</t>
  </si>
  <si>
    <t>2.  AJUTOARE SOCIALE (I+II)</t>
  </si>
  <si>
    <t xml:space="preserve">       I.  Ajutoare sociale în numerar  (A+B)</t>
  </si>
  <si>
    <t xml:space="preserve">            II. Ajutoare sociale în natură  (A+B)</t>
  </si>
  <si>
    <t>B. Cap.69.03  " Asigurari si asistenta sociala pentru accidente de munca si boli profesionale" (1+2+3) - mii lei</t>
  </si>
  <si>
    <t>a - numar de ajutoare -mii</t>
  </si>
  <si>
    <t>b - ajutor mediu -lei</t>
  </si>
  <si>
    <t>c - numar beneficiari indemniz. pentru trecerea temporara in alt loc munca   - pers.</t>
  </si>
  <si>
    <t>e - numar beneficiari  indemniz. pentru reducerea timpului de lucru   - pers.</t>
  </si>
  <si>
    <t>1.Programe din Fondul European de Dezvoltare Regională (FEDR)</t>
  </si>
  <si>
    <t>*(art.137 alin 1 din L.263/2010, pâna la 3% din cheltuieli)</t>
  </si>
  <si>
    <t>Cheltuieli din sumele primite în cadrul mecanismului top up</t>
  </si>
  <si>
    <t xml:space="preserve">2. Despagubiri in caz de deces  (a*b)    </t>
  </si>
  <si>
    <t>a - numar beneficiari  -pers.</t>
  </si>
  <si>
    <t>4. Compensatii pentru atingerea integritatii (a*b)</t>
  </si>
  <si>
    <t xml:space="preserve">1. Tratament balnear  (a*b)    </t>
  </si>
  <si>
    <t>2. Prestatii si servicii pt. reabilitare medicala (a*b)</t>
  </si>
  <si>
    <t>a - numar mediu beneficiari  - pers.</t>
  </si>
  <si>
    <t>a - numar beneficiari  - pers.</t>
  </si>
  <si>
    <t xml:space="preserve">                 din care:</t>
  </si>
  <si>
    <t>Notă:</t>
  </si>
  <si>
    <t>CHELTUIELI DE PERSONAL</t>
  </si>
  <si>
    <t>TOTAL CHELTUIELI DE FUNCŢIONARE A SISTEMULUI PUBLIC DE PENSII</t>
  </si>
  <si>
    <t xml:space="preserve">     din care:</t>
  </si>
  <si>
    <t xml:space="preserve">                  Transferuri interne</t>
  </si>
  <si>
    <t xml:space="preserve">                           Transferuri pentru programe si proiecte de prevenire a accidentelor  de munca si boli profesionale</t>
  </si>
  <si>
    <t xml:space="preserve">   ASISTENTA SOCIALA </t>
  </si>
  <si>
    <t xml:space="preserve">            Ajutoare sociale   </t>
  </si>
  <si>
    <t xml:space="preserve">                         Ajutoare sociale   in numerar ( indem boala, indem durata curs calif, despag decese, compens.integrit)</t>
  </si>
  <si>
    <t xml:space="preserve">                         Ajutoare sociale in natura    (tratament  balnear,   cost cursuri calific.sau reconver prof, prestatii si servicii reabilitare medicala)</t>
  </si>
  <si>
    <t xml:space="preserve">CHELTUIELI DE CAPITAL  </t>
  </si>
  <si>
    <t xml:space="preserve">      ACTIVE NEFINANCIARE  titlu</t>
  </si>
  <si>
    <t xml:space="preserve">             Active fixe</t>
  </si>
  <si>
    <t xml:space="preserve">                   Constructii</t>
  </si>
  <si>
    <t xml:space="preserve">                    Masini, echipamente si mijloace de transport   </t>
  </si>
  <si>
    <t xml:space="preserve">                    Mobilier, aparatura birotica si alte active corporale  </t>
  </si>
  <si>
    <t xml:space="preserve">             Reparatii capitale</t>
  </si>
  <si>
    <t xml:space="preserve">      RAMBURSARI DE CREDITE - titlu</t>
  </si>
  <si>
    <t xml:space="preserve">                Rambursari de credite externe   -  articol</t>
  </si>
  <si>
    <t xml:space="preserve">                Rambursari de credite externe  contractate de ordonatorii de credite - alineat - (de la ramb)</t>
  </si>
  <si>
    <t xml:space="preserve">        Asistenta sociala in caz de boli si invaliditati   </t>
  </si>
  <si>
    <t xml:space="preserve">                Asistenta sociala in caz de boli - paragraf - (indem boala) </t>
  </si>
  <si>
    <t xml:space="preserve">                Asistenta sociala in caz de invaliditate (atind integr+trat baln+prest si serv reabilit) </t>
  </si>
  <si>
    <t xml:space="preserve">       Ajutoare pentru somaj  (indemn cursuri calif+cost cursuri calif)</t>
  </si>
  <si>
    <t xml:space="preserve">       Ajutoare pentru urmasi   (ajutoare pentru decese) </t>
  </si>
  <si>
    <t xml:space="preserve">       Prevenirea excluderii sociale  (progr si proiecte prev accid munca)</t>
  </si>
  <si>
    <t xml:space="preserve">                  Alte cheltuieli in domeniul prevenirii excluderii sociale </t>
  </si>
  <si>
    <t xml:space="preserve">      Alte cheltuieli in domeniu asigurarilor si asistentei sociale </t>
  </si>
  <si>
    <t>XIII ACTIVE NEFINANCIARE</t>
  </si>
  <si>
    <t>79. OPERAȚIUNI FINANCIARE</t>
  </si>
  <si>
    <t>XVII RAMBURSĂRI DE CREDITE</t>
  </si>
  <si>
    <t xml:space="preserve">                 Alte cheltuieli de administrare fond</t>
  </si>
  <si>
    <t>EXCEDENT/DEFICIT</t>
  </si>
  <si>
    <t>Cod</t>
  </si>
  <si>
    <t>01</t>
  </si>
  <si>
    <t>81.01</t>
  </si>
  <si>
    <t>81.01.01</t>
  </si>
  <si>
    <t>68.03</t>
  </si>
  <si>
    <t xml:space="preserve">Execuţie </t>
  </si>
  <si>
    <t>preliminată</t>
  </si>
  <si>
    <t>PROIECTE CU FINANŢARE DIN FONDURI EXTERNE NERAMBURSABILE (FEN) POSTADERARE</t>
  </si>
  <si>
    <t>10.01.01</t>
  </si>
  <si>
    <t>10.01.02</t>
  </si>
  <si>
    <t>10.01.03</t>
  </si>
  <si>
    <t>10.01.04</t>
  </si>
  <si>
    <t>10.01.05</t>
  </si>
  <si>
    <t>10.01.06</t>
  </si>
  <si>
    <t>10.01.07</t>
  </si>
  <si>
    <t>10.01.08</t>
  </si>
  <si>
    <t>10.01.09</t>
  </si>
  <si>
    <t>10.01.10</t>
  </si>
  <si>
    <t>10.01.11</t>
  </si>
  <si>
    <t>10.01.12</t>
  </si>
  <si>
    <t>10.01.13</t>
  </si>
  <si>
    <t>10.01.14</t>
  </si>
  <si>
    <t>10.01.15</t>
  </si>
  <si>
    <t>10.01.16</t>
  </si>
  <si>
    <t xml:space="preserve">FUNDAMENTAREA  </t>
  </si>
  <si>
    <t>a)  Cheltuieli salariale in bani</t>
  </si>
  <si>
    <t xml:space="preserve">           Sporuri pentru condiţii de muncă</t>
  </si>
  <si>
    <t xml:space="preserve">            Reactivi</t>
  </si>
  <si>
    <t xml:space="preserve">            Dezinfectianţi</t>
  </si>
  <si>
    <t xml:space="preserve">           Lenjerie şi accesorii de pat</t>
  </si>
  <si>
    <t xml:space="preserve">           Alte obiecte de inventar</t>
  </si>
  <si>
    <t xml:space="preserve">             Protocol şi reprezentare</t>
  </si>
  <si>
    <t xml:space="preserve">           Salarii de bază</t>
  </si>
  <si>
    <t xml:space="preserve">           Spor pentru condiţii de muncă</t>
  </si>
  <si>
    <t xml:space="preserve">           Alte sporuri</t>
  </si>
  <si>
    <t xml:space="preserve">           Indemnizaţii de detaşare</t>
  </si>
  <si>
    <t xml:space="preserve">           Alte drepturi salariale în bani</t>
  </si>
  <si>
    <t>b)  Cheltuieli salariale în natură</t>
  </si>
  <si>
    <t>CHELTUIELI     -    TOTAL   (I + … + IX)</t>
  </si>
  <si>
    <t>c) Contribuţii</t>
  </si>
  <si>
    <t xml:space="preserve">           Contribuţii de asigurări sociale de stat</t>
  </si>
  <si>
    <t xml:space="preserve">           Contribuţii de asigurări de şomaj</t>
  </si>
  <si>
    <t xml:space="preserve">           Contribuţii de asigurări sociale de sănătate</t>
  </si>
  <si>
    <t xml:space="preserve">           Contribuţii pentru concedii şi indemnizaţii</t>
  </si>
  <si>
    <t xml:space="preserve">  (a+b+c)   -   mii lei</t>
  </si>
  <si>
    <t xml:space="preserve">           Furnituri de birou</t>
  </si>
  <si>
    <t xml:space="preserve">           Materiale pentru curăţenie</t>
  </si>
  <si>
    <t xml:space="preserve">           Încălzit, iluminat şi forţă motrică</t>
  </si>
  <si>
    <t xml:space="preserve">           Apă, canal şi salubritate</t>
  </si>
  <si>
    <t xml:space="preserve">           Carburanţi şi lubrifianţi</t>
  </si>
  <si>
    <t xml:space="preserve">           Piese de schimb</t>
  </si>
  <si>
    <t xml:space="preserve">           Transport</t>
  </si>
  <si>
    <t xml:space="preserve">           Poştă, telecomunicaţii, radio, tv,internet</t>
  </si>
  <si>
    <t xml:space="preserve">           Materiale şi prestări de servicii cu caracter funcţional</t>
  </si>
  <si>
    <t xml:space="preserve">            Hrană  pentru oameni</t>
  </si>
  <si>
    <t xml:space="preserve">            Medicamente</t>
  </si>
  <si>
    <t xml:space="preserve">   1. Bunuri si servicii</t>
  </si>
  <si>
    <t xml:space="preserve">   3. Hrana</t>
  </si>
  <si>
    <t xml:space="preserve">            Materiale sanitare</t>
  </si>
  <si>
    <t xml:space="preserve">    6. Deplasari, detasari, transferari</t>
  </si>
  <si>
    <t xml:space="preserve">    5. Bunuri de natura obiectelor de inventar</t>
  </si>
  <si>
    <t>A. Total cap.68.03 "Asigurari si asistenta sociala"- mii lei  (1+2+...+13)</t>
  </si>
  <si>
    <t xml:space="preserve">    7. Materiale de laborator</t>
  </si>
  <si>
    <t xml:space="preserve">    8. Carti, publicatii si materiale documentare</t>
  </si>
  <si>
    <t xml:space="preserve">    9. Consultanta si expertiza</t>
  </si>
  <si>
    <t xml:space="preserve">    10. Pregatire profesionala  </t>
  </si>
  <si>
    <t xml:space="preserve">    11. Protectia muncii</t>
  </si>
  <si>
    <t xml:space="preserve">   4. Medicamente si materiale sanitare</t>
  </si>
  <si>
    <t xml:space="preserve">             Chirii</t>
  </si>
  <si>
    <t>10.01.30</t>
  </si>
  <si>
    <t>10.02.01</t>
  </si>
  <si>
    <t>10.02.02</t>
  </si>
  <si>
    <t>10.02.03</t>
  </si>
  <si>
    <t>10.02.04</t>
  </si>
  <si>
    <t>10.02.05</t>
  </si>
  <si>
    <t>10.02.06</t>
  </si>
  <si>
    <t>10.03.01</t>
  </si>
  <si>
    <t>10.03.02</t>
  </si>
  <si>
    <t>10.03.03.</t>
  </si>
  <si>
    <t>10.03.04</t>
  </si>
  <si>
    <t>10.03.06</t>
  </si>
  <si>
    <t>20</t>
  </si>
  <si>
    <t>20.01.01</t>
  </si>
  <si>
    <t>20.01.02</t>
  </si>
  <si>
    <t>20.01.03</t>
  </si>
  <si>
    <t>20.01.04</t>
  </si>
  <si>
    <t>20.01.05</t>
  </si>
  <si>
    <t>20.01.06</t>
  </si>
  <si>
    <t>20.01.07</t>
  </si>
  <si>
    <t>20.01.08</t>
  </si>
  <si>
    <t>20.01.09</t>
  </si>
  <si>
    <t>20.01.30</t>
  </si>
  <si>
    <t>20.03.01</t>
  </si>
  <si>
    <t>20.04.01</t>
  </si>
  <si>
    <t>20.04.02</t>
  </si>
  <si>
    <t>20.05.03</t>
  </si>
  <si>
    <t>20.05.30</t>
  </si>
  <si>
    <t>20.06.01</t>
  </si>
  <si>
    <t>20.06.02</t>
  </si>
  <si>
    <t>20.13</t>
  </si>
  <si>
    <t>20.14</t>
  </si>
  <si>
    <t>20.24</t>
  </si>
  <si>
    <t>20.24.01</t>
  </si>
  <si>
    <t>20.30</t>
  </si>
  <si>
    <t>20.30.02</t>
  </si>
  <si>
    <t>20.30.04</t>
  </si>
  <si>
    <t>20.30.06</t>
  </si>
  <si>
    <t>20.30.09</t>
  </si>
  <si>
    <t>20.30.30</t>
  </si>
  <si>
    <t>30.02</t>
  </si>
  <si>
    <t>30.02.02</t>
  </si>
  <si>
    <t>30.03.02</t>
  </si>
  <si>
    <t>51.01</t>
  </si>
  <si>
    <t>51.01.16</t>
  </si>
  <si>
    <t>57.01</t>
  </si>
  <si>
    <t>57.02</t>
  </si>
  <si>
    <t>57.02.01</t>
  </si>
  <si>
    <t>57.02.02.</t>
  </si>
  <si>
    <t>71.01</t>
  </si>
  <si>
    <t>71.01.01</t>
  </si>
  <si>
    <t>71.01.02</t>
  </si>
  <si>
    <t>71.01.03</t>
  </si>
  <si>
    <t>71.01.30</t>
  </si>
  <si>
    <t>71.03</t>
  </si>
  <si>
    <t>68.03.03</t>
  </si>
  <si>
    <t>68.03.04</t>
  </si>
  <si>
    <t>68.03.05</t>
  </si>
  <si>
    <t>68.03.05.01</t>
  </si>
  <si>
    <t>68.03.06</t>
  </si>
  <si>
    <t>68.03.09</t>
  </si>
  <si>
    <t>68.03.50</t>
  </si>
  <si>
    <t>68.03.50.02</t>
  </si>
  <si>
    <t>68.03.50.03</t>
  </si>
  <si>
    <t>69.03</t>
  </si>
  <si>
    <t>10.02.30</t>
  </si>
  <si>
    <t>51.01.21</t>
  </si>
  <si>
    <t>55.01</t>
  </si>
  <si>
    <t>55.01.17</t>
  </si>
  <si>
    <t>57.02.02</t>
  </si>
  <si>
    <t>69.03.05</t>
  </si>
  <si>
    <t>69.03.05.01</t>
  </si>
  <si>
    <t>69.03.05.02</t>
  </si>
  <si>
    <t>69.03.07</t>
  </si>
  <si>
    <t>69.03.09</t>
  </si>
  <si>
    <t>69.03.15</t>
  </si>
  <si>
    <t>69.03.15.50</t>
  </si>
  <si>
    <t>69.03.50</t>
  </si>
  <si>
    <t>69.03.50.03</t>
  </si>
  <si>
    <t>majorat</t>
  </si>
  <si>
    <t>Propuneri</t>
  </si>
  <si>
    <t>Formular:     138</t>
  </si>
  <si>
    <t>CHELTUIELILOR BUGETULUI ASIGURARILOR SOCIALE DE STAT</t>
  </si>
  <si>
    <t>A</t>
  </si>
  <si>
    <t xml:space="preserve">                </t>
  </si>
  <si>
    <t xml:space="preserve">           din care:</t>
  </si>
  <si>
    <t xml:space="preserve">                din care:</t>
  </si>
  <si>
    <t xml:space="preserve">      din care:</t>
  </si>
  <si>
    <t>b - cost mediu  - lei</t>
  </si>
  <si>
    <t xml:space="preserve">        din care:</t>
  </si>
  <si>
    <t xml:space="preserve">                  - constructii            </t>
  </si>
  <si>
    <t xml:space="preserve">                  - masini, echipamente si mijloace de transport</t>
  </si>
  <si>
    <t xml:space="preserve">                  - alte active fixe     </t>
  </si>
  <si>
    <t>Nota:</t>
  </si>
  <si>
    <t xml:space="preserve"> Cheltuieli de functionare a sistemului public de pensii        (IA+IIA+III+VIIA+VIII)</t>
  </si>
  <si>
    <t xml:space="preserve"> Cheltuieli de functionare a sistemului de asigurare pentru accidente de munca si boli profesionale           (IB+IIB+VIIB)  </t>
  </si>
  <si>
    <t>CHELTUIELI  - TOTAL  din care:</t>
  </si>
  <si>
    <t>B. Total cap.69.03 "Asigurari si asistenta sociala pentru accidente de munca si boli profesionale"   (1+...+4)  -mii lei</t>
  </si>
  <si>
    <t>a - numar om zile incapacitate pe an boala profesionala si accident  -mii</t>
  </si>
  <si>
    <t xml:space="preserve">b - indemnizatie medie zilnica  -lei   </t>
  </si>
  <si>
    <t>d - indemnizatie medie lunara   -lei</t>
  </si>
  <si>
    <t>g - indemnizatie medie lunara   -lei</t>
  </si>
  <si>
    <t>a - numar de ajutoare  -mii</t>
  </si>
  <si>
    <t xml:space="preserve">b - ajutor mediu  - lei </t>
  </si>
  <si>
    <t>a - numar beneficiari - mii pers.</t>
  </si>
  <si>
    <t xml:space="preserve">b - cuantum compensatie  -lei      </t>
  </si>
  <si>
    <t>a - numar bilete   -mii</t>
  </si>
  <si>
    <t>b - tarif mediu  -lei</t>
  </si>
  <si>
    <t>b - cost mediu  -lei</t>
  </si>
  <si>
    <t xml:space="preserve">        a.  Active fixe -mii lei :</t>
  </si>
  <si>
    <t xml:space="preserve">           a.   Active fixe  -mii lei :</t>
  </si>
  <si>
    <t xml:space="preserve">            din care:</t>
  </si>
  <si>
    <t xml:space="preserve">                        b  - comision postal   - % -</t>
  </si>
  <si>
    <t>Total cap.68.03 "Asigurari si asistenta sociala" - mii lei</t>
  </si>
  <si>
    <t>b - pensia medie  - lei/luna -</t>
  </si>
  <si>
    <t xml:space="preserve">Tratament balnear si odihna  (a*b)   </t>
  </si>
  <si>
    <t>1.Indemnizatii pentru incapacitate temporara de munca din cauza de boala profesionala sau accident de munca         (a*b)+(c*d*3)+(e*g*3)</t>
  </si>
  <si>
    <t>c - nr.luni</t>
  </si>
  <si>
    <t>B. Total cap.69.03 "Asigurari si asistenta sociala pentru accidente de munca si boli profesionale"   (a+b)  - mii lei</t>
  </si>
  <si>
    <t xml:space="preserve">   2. Reparatii curente </t>
  </si>
  <si>
    <t xml:space="preserve">       5. Consultanta si expertiza</t>
  </si>
  <si>
    <t xml:space="preserve">       6. Pregatire profesionala</t>
  </si>
  <si>
    <t xml:space="preserve">       7. Protectia muncii</t>
  </si>
  <si>
    <t xml:space="preserve">       4. Carti publicatii si materiale documentare</t>
  </si>
  <si>
    <t>Transferuri pentru programe si proiecte de prevenire a accidentelor de munca si a bolilor profesionale  -  mii lei</t>
  </si>
  <si>
    <t xml:space="preserve">              - constructii            </t>
  </si>
  <si>
    <t xml:space="preserve">             - masini, echipamente si mijloace de transport</t>
  </si>
  <si>
    <t>SUBVENTII  **)</t>
  </si>
  <si>
    <t>FONDURI DE REZERVA **)</t>
  </si>
  <si>
    <t>ALTE CHELTUIELI **)</t>
  </si>
  <si>
    <t>ACTIVE FINANCIARE **)</t>
  </si>
  <si>
    <t>FONDUL NATIONAL DE DEZVOLTARE  **)</t>
  </si>
  <si>
    <t>ÎMPRUMUTURI **)</t>
  </si>
  <si>
    <t>OPERAȚIUNI ÎN CURS DE CLARIFICARE  **)</t>
  </si>
  <si>
    <t>REZERVE, EXCEDENT/DEFICIT  **)</t>
  </si>
  <si>
    <t xml:space="preserve">             - mobilier, aparatura birotica si alte active corporale</t>
  </si>
  <si>
    <t xml:space="preserve">             - alte active fixe </t>
  </si>
  <si>
    <t>.</t>
  </si>
  <si>
    <t>Total cap.69.03 "Asigurari si asistenta sociala pentru accidente de munca si boli profesionale"    -  mii lei</t>
  </si>
  <si>
    <t>A. Total cap.68.03 "Asigurari si asistenta sociala"   (a+b)  - mii lei</t>
  </si>
  <si>
    <t>Elemente de calcul</t>
  </si>
  <si>
    <t>PIB   mld. lei     prognoza de toamna septembrie 2006</t>
  </si>
  <si>
    <t>% indexare cheltuieli medie/ medie</t>
  </si>
  <si>
    <t>% indexare cheltuieli decembrie/ decembrie</t>
  </si>
  <si>
    <t>% indexare cheltuieli medie an/medie an pt.chelt personal bugetar</t>
  </si>
  <si>
    <t>% indexare cheltuieli medie an/medie an pt.chelt materiale si ch.capital</t>
  </si>
  <si>
    <t>Nr. mediu de pensionari asigurari sociale - mii persoane</t>
  </si>
  <si>
    <t xml:space="preserve">Pensie medie asigurari sociale an -lei/luna  </t>
  </si>
  <si>
    <t>Nr. mediu beneficiari indemnizatie insotitor - persoane</t>
  </si>
  <si>
    <t>Salariul mediu brut pe economie - lei/luna</t>
  </si>
  <si>
    <t>Salariul minim pe economie - lei/ luna</t>
  </si>
  <si>
    <t>Curs  mediu de schimb - lei/1$</t>
  </si>
  <si>
    <t>Nr. bilete tratament si odihna - asigurari-  mii bilete</t>
  </si>
  <si>
    <t>TITLUL I   CHELTUIELI DE PERSONAL TOTAL   (A+B)</t>
  </si>
  <si>
    <t>TITLUL  II   BUNURI SI SERVICII  TOTAL   (A+B)</t>
  </si>
  <si>
    <t>TITLUL  III    DOBANZI</t>
  </si>
  <si>
    <t xml:space="preserve">TITLUL VI TRANSFERURI INTRE UNITATI ALE ADMINISTRATIEI PUBLICE  TOTAL </t>
  </si>
  <si>
    <t>TITLUL VIII   PROIECTE CU FINANŢARE DIN FONDURI EXTERNE NERAMBURSABILE (FEN) POSTADERARE</t>
  </si>
  <si>
    <t>TITLUL X   PROIECTE CU FINANTARE DIN FONDURI EXTERNE NERAMBURSABILE AFERENTE CADRULUI FINANCIAR 2014-2020</t>
  </si>
  <si>
    <t xml:space="preserve">    TITLUL XIII.    ACTIVE NEFINANCIARE  TOTAL   (A+B)</t>
  </si>
  <si>
    <r>
      <t xml:space="preserve">           </t>
    </r>
    <r>
      <rPr>
        <sz val="10"/>
        <rFont val="Arial"/>
        <family val="2"/>
      </rPr>
      <t>Uniforme si echipament</t>
    </r>
  </si>
  <si>
    <r>
      <t xml:space="preserve">    </t>
    </r>
    <r>
      <rPr>
        <sz val="10"/>
        <rFont val="Arial"/>
        <family val="2"/>
      </rPr>
      <t xml:space="preserve">      Prestari  servicii pentru transmiterea drepturilor : (a*b)</t>
    </r>
  </si>
  <si>
    <t xml:space="preserve">           Salarii de merit</t>
  </si>
  <si>
    <t xml:space="preserve">           Indemnizație de conducere</t>
  </si>
  <si>
    <t xml:space="preserve">           Spor de vechime</t>
  </si>
  <si>
    <t xml:space="preserve">           Fond de premii</t>
  </si>
  <si>
    <t xml:space="preserve">           Indemnizație de vacanță</t>
  </si>
  <si>
    <t xml:space="preserve">           Fond pentru posturi ocupate prin cumul</t>
  </si>
  <si>
    <t xml:space="preserve">           Fond aferent platii cu ora</t>
  </si>
  <si>
    <t xml:space="preserve">Tichete de masa  </t>
  </si>
  <si>
    <t>Norme de hrana</t>
  </si>
  <si>
    <t>Uniforme si echipament obligatoriu</t>
  </si>
  <si>
    <t>Locuinta de serviciu folosita de salariat si familia sa</t>
  </si>
  <si>
    <t>Transportul la si de la locul de munca</t>
  </si>
  <si>
    <t xml:space="preserve"> Vouchere de vacanţă </t>
  </si>
  <si>
    <t>Alte drepturi salariale in natura</t>
  </si>
  <si>
    <t>Contributii de asigurari sociale de stat</t>
  </si>
  <si>
    <t xml:space="preserve">Contributii de asigurări de somaj </t>
  </si>
  <si>
    <t xml:space="preserve">Contributii de asigurari sociale de sanatate </t>
  </si>
  <si>
    <t>Prime de asigurare viata platite de angajator pentru angajati</t>
  </si>
  <si>
    <t>Contribuția asiguratorie pentru muncă</t>
  </si>
  <si>
    <t>Contribuții plătite de angajator în numele angajatului</t>
  </si>
  <si>
    <t xml:space="preserve">           Prime de asigurare viata platite de angajator pentru angajati</t>
  </si>
  <si>
    <t xml:space="preserve">          Ore suplimentare</t>
  </si>
  <si>
    <t xml:space="preserve">           Alocatii pentru transportul la si de la locul de munca</t>
  </si>
  <si>
    <t xml:space="preserve">           Alocatii pentru locuinte</t>
  </si>
  <si>
    <t xml:space="preserve">           Indemnizații de hrană</t>
  </si>
  <si>
    <t xml:space="preserve">           Contribuția asiguratorie pentru muncă</t>
  </si>
  <si>
    <t xml:space="preserve">           Contribuții plătite de angajator în numele angajatului</t>
  </si>
  <si>
    <t xml:space="preserve">*) Se va completa cu pozițiile bugetare rezervate proiectelor cu finanțare din fonduri externe nerambursabile aferente cadrului financiar 2014-2020 </t>
  </si>
  <si>
    <t xml:space="preserve">   12. Cheltuieli judiciare si extrajudiciare derivate din actiuni in reprezentarea intereselor statului, potrivit dispozitiilor legale</t>
  </si>
  <si>
    <t xml:space="preserve">     13. Tichete cadou</t>
  </si>
  <si>
    <t xml:space="preserve">     14. Ajutor public judiciar</t>
  </si>
  <si>
    <t xml:space="preserve">     15.  Alte cheltuieli</t>
  </si>
  <si>
    <t xml:space="preserve">       8. Cheltuieli judiciare si extrajudiciare derivate din actiuni in reprezentarea intereselor statului, potrivit dispozitiilor legale</t>
  </si>
  <si>
    <t>Total cap.68.03 "Asigurari si asistenta sociala"  - mii lei</t>
  </si>
  <si>
    <t xml:space="preserve">  Dobanda datorata trezoreriei statului</t>
  </si>
  <si>
    <t xml:space="preserve"> </t>
  </si>
  <si>
    <t>2021</t>
  </si>
  <si>
    <t>2022/</t>
  </si>
  <si>
    <r>
      <t xml:space="preserve">PE ANUL </t>
    </r>
    <r>
      <rPr>
        <b/>
        <sz val="10"/>
        <rFont val="Arial"/>
        <family val="2"/>
      </rPr>
      <t>2022</t>
    </r>
  </si>
  <si>
    <t>MINISTERUL MUNCII ȘI SOLIDARITĂȚII SOCIALE</t>
  </si>
  <si>
    <t xml:space="preserve">            Drepturi de delegare</t>
  </si>
  <si>
    <t xml:space="preserve">           Drepturi de delegare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</si>
</sst>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0"/>
    <numFmt numFmtId="174" formatCode="#,##0.000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 CE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4"/>
      <color indexed="45"/>
      <name val="Arial"/>
      <family val="2"/>
    </font>
    <font>
      <sz val="14"/>
      <color indexed="10"/>
      <name val="Arial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sz val="14"/>
      <color indexed="62"/>
      <name val="Arial"/>
      <family val="2"/>
    </font>
    <font>
      <sz val="14"/>
      <color indexed="18"/>
      <name val="Arial"/>
      <family val="2"/>
    </font>
    <font>
      <b/>
      <sz val="14"/>
      <color indexed="62"/>
      <name val="Arial"/>
      <family val="2"/>
    </font>
    <font>
      <b/>
      <i/>
      <sz val="12"/>
      <name val="Arial"/>
      <family val="2"/>
    </font>
    <font>
      <b/>
      <sz val="12"/>
      <color indexed="16"/>
      <name val="Arial"/>
      <family val="2"/>
    </font>
    <font>
      <b/>
      <sz val="14"/>
      <color indexed="16"/>
      <name val="Arial"/>
      <family val="2"/>
    </font>
    <font>
      <sz val="12"/>
      <color indexed="62"/>
      <name val="Arial"/>
      <family val="2"/>
    </font>
    <font>
      <sz val="12"/>
      <color indexed="16"/>
      <name val="Arial"/>
      <family val="2"/>
    </font>
    <font>
      <i/>
      <sz val="12"/>
      <name val="Arial"/>
      <family val="2"/>
    </font>
    <font>
      <sz val="14"/>
      <name val="Arial CE"/>
      <family val="0"/>
    </font>
    <font>
      <sz val="12"/>
      <color indexed="10"/>
      <name val="Arial"/>
      <family val="2"/>
    </font>
    <font>
      <b/>
      <sz val="14"/>
      <color indexed="12"/>
      <name val="Arial"/>
      <family val="2"/>
    </font>
    <font>
      <b/>
      <sz val="12"/>
      <color indexed="14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4"/>
      <color indexed="12"/>
      <name val="Arial"/>
      <family val="2"/>
    </font>
    <font>
      <sz val="12"/>
      <color indexed="14"/>
      <name val="Arial"/>
      <family val="2"/>
    </font>
    <font>
      <b/>
      <sz val="14"/>
      <color indexed="14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b/>
      <sz val="11"/>
      <name val="Arial"/>
      <family val="2"/>
    </font>
    <font>
      <b/>
      <sz val="13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0" borderId="0" applyNumberFormat="0" applyFill="0" applyBorder="0" applyAlignment="0" applyProtection="0"/>
    <xf numFmtId="0" fontId="75" fillId="28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29" borderId="1" applyNumberFormat="0" applyAlignment="0" applyProtection="0"/>
    <xf numFmtId="0" fontId="80" fillId="0" borderId="6" applyNumberFormat="0" applyFill="0" applyAlignment="0" applyProtection="0"/>
    <xf numFmtId="0" fontId="81" fillId="30" borderId="0" applyNumberFormat="0" applyBorder="0" applyAlignment="0" applyProtection="0"/>
    <xf numFmtId="0" fontId="0" fillId="31" borderId="7" applyNumberFormat="0" applyFont="0" applyAlignment="0" applyProtection="0"/>
    <xf numFmtId="0" fontId="82" fillId="26" borderId="8" applyNumberFormat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365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32" borderId="10" xfId="0" applyNumberFormat="1" applyFont="1" applyFill="1" applyBorder="1" applyAlignment="1">
      <alignment horizontal="centerContinuous"/>
    </xf>
    <xf numFmtId="3" fontId="6" fillId="0" borderId="10" xfId="0" applyNumberFormat="1" applyFont="1" applyBorder="1" applyAlignment="1">
      <alignment horizontal="centerContinuous"/>
    </xf>
    <xf numFmtId="3" fontId="7" fillId="0" borderId="10" xfId="0" applyNumberFormat="1" applyFont="1" applyBorder="1" applyAlignment="1">
      <alignment horizontal="centerContinuous"/>
    </xf>
    <xf numFmtId="3" fontId="6" fillId="0" borderId="10" xfId="0" applyNumberFormat="1" applyFont="1" applyBorder="1" applyAlignment="1">
      <alignment horizontal="centerContinuous"/>
    </xf>
    <xf numFmtId="3" fontId="6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4" fillId="0" borderId="0" xfId="0" applyNumberFormat="1" applyFont="1" applyAlignment="1">
      <alignment wrapText="1"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horizontal="centerContinuous" wrapText="1"/>
    </xf>
    <xf numFmtId="3" fontId="0" fillId="0" borderId="0" xfId="0" applyNumberFormat="1" applyFont="1" applyAlignment="1">
      <alignment horizontal="centerContinuous" wrapText="1"/>
    </xf>
    <xf numFmtId="3" fontId="4" fillId="0" borderId="0" xfId="0" applyNumberFormat="1" applyFont="1" applyAlignment="1">
      <alignment horizontal="centerContinuous" wrapText="1"/>
    </xf>
    <xf numFmtId="3" fontId="5" fillId="0" borderId="0" xfId="0" applyNumberFormat="1" applyFont="1" applyAlignment="1">
      <alignment/>
    </xf>
    <xf numFmtId="3" fontId="5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Continuous" wrapText="1"/>
    </xf>
    <xf numFmtId="3" fontId="0" fillId="0" borderId="0" xfId="0" applyNumberFormat="1" applyFont="1" applyAlignment="1">
      <alignment horizontal="centerContinuous" wrapText="1"/>
    </xf>
    <xf numFmtId="3" fontId="0" fillId="0" borderId="0" xfId="0" applyNumberFormat="1" applyFont="1" applyAlignment="1">
      <alignment horizontal="left"/>
    </xf>
    <xf numFmtId="173" fontId="0" fillId="0" borderId="0" xfId="0" applyNumberFormat="1" applyFont="1" applyAlignment="1">
      <alignment/>
    </xf>
    <xf numFmtId="4" fontId="0" fillId="34" borderId="0" xfId="0" applyNumberFormat="1" applyFont="1" applyFill="1" applyAlignment="1">
      <alignment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 horizontal="center"/>
    </xf>
    <xf numFmtId="3" fontId="0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3" fontId="9" fillId="32" borderId="11" xfId="0" applyNumberFormat="1" applyFont="1" applyFill="1" applyBorder="1" applyAlignment="1">
      <alignment horizontal="centerContinuous"/>
    </xf>
    <xf numFmtId="3" fontId="9" fillId="0" borderId="11" xfId="0" applyNumberFormat="1" applyFont="1" applyBorder="1" applyAlignment="1">
      <alignment horizontal="centerContinuous"/>
    </xf>
    <xf numFmtId="3" fontId="9" fillId="0" borderId="11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3" fontId="11" fillId="0" borderId="11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12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8" fillId="0" borderId="0" xfId="0" applyNumberFormat="1" applyFont="1" applyAlignment="1">
      <alignment horizontal="left"/>
    </xf>
    <xf numFmtId="3" fontId="8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5" fillId="0" borderId="0" xfId="0" applyNumberFormat="1" applyFont="1" applyAlignment="1">
      <alignment horizontal="left"/>
    </xf>
    <xf numFmtId="3" fontId="15" fillId="0" borderId="0" xfId="0" applyNumberFormat="1" applyFont="1" applyAlignment="1">
      <alignment horizontal="centerContinuous" wrapText="1"/>
    </xf>
    <xf numFmtId="3" fontId="16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172" fontId="10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10" fillId="5" borderId="0" xfId="0" applyNumberFormat="1" applyFont="1" applyFill="1" applyAlignment="1">
      <alignment/>
    </xf>
    <xf numFmtId="3" fontId="5" fillId="0" borderId="0" xfId="0" applyNumberFormat="1" applyFont="1" applyAlignment="1">
      <alignment horizontal="centerContinuous" wrapText="1"/>
    </xf>
    <xf numFmtId="3" fontId="9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0" fontId="5" fillId="0" borderId="0" xfId="0" applyNumberFormat="1" applyFont="1" applyAlignment="1">
      <alignment wrapText="1"/>
    </xf>
    <xf numFmtId="3" fontId="18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left"/>
    </xf>
    <xf numFmtId="3" fontId="21" fillId="0" borderId="0" xfId="0" applyNumberFormat="1" applyFont="1" applyAlignment="1">
      <alignment/>
    </xf>
    <xf numFmtId="3" fontId="0" fillId="0" borderId="0" xfId="0" applyNumberFormat="1" applyFont="1" applyAlignment="1">
      <alignment horizontal="left"/>
    </xf>
    <xf numFmtId="3" fontId="21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3" fontId="21" fillId="0" borderId="0" xfId="0" applyNumberFormat="1" applyFont="1" applyAlignment="1">
      <alignment horizontal="centerContinuous" wrapText="1"/>
    </xf>
    <xf numFmtId="0" fontId="9" fillId="0" borderId="0" xfId="0" applyNumberFormat="1" applyFont="1" applyAlignment="1">
      <alignment/>
    </xf>
    <xf numFmtId="3" fontId="10" fillId="35" borderId="0" xfId="0" applyNumberFormat="1" applyFont="1" applyFill="1" applyAlignment="1">
      <alignment/>
    </xf>
    <xf numFmtId="4" fontId="11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3" fontId="0" fillId="0" borderId="0" xfId="0" applyNumberFormat="1" applyFont="1" applyAlignment="1">
      <alignment horizontal="left" wrapText="1"/>
    </xf>
    <xf numFmtId="0" fontId="1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0" fillId="0" borderId="0" xfId="0" applyNumberFormat="1" applyFont="1" applyAlignment="1">
      <alignment horizontal="left"/>
    </xf>
    <xf numFmtId="3" fontId="11" fillId="0" borderId="0" xfId="0" applyNumberFormat="1" applyFont="1" applyAlignment="1">
      <alignment/>
    </xf>
    <xf numFmtId="3" fontId="22" fillId="0" borderId="0" xfId="0" applyNumberFormat="1" applyFont="1" applyAlignment="1">
      <alignment horizontal="centerContinuous" wrapText="1"/>
    </xf>
    <xf numFmtId="3" fontId="23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3" fontId="24" fillId="0" borderId="0" xfId="0" applyNumberFormat="1" applyFont="1" applyAlignment="1">
      <alignment horizontal="centerContinuous" wrapText="1"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172" fontId="10" fillId="0" borderId="0" xfId="0" applyNumberFormat="1" applyFont="1" applyAlignment="1">
      <alignment/>
    </xf>
    <xf numFmtId="3" fontId="25" fillId="0" borderId="0" xfId="0" applyNumberFormat="1" applyFont="1" applyAlignment="1">
      <alignment horizontal="centerContinuous" wrapText="1"/>
    </xf>
    <xf numFmtId="3" fontId="18" fillId="0" borderId="0" xfId="0" applyNumberFormat="1" applyFont="1" applyAlignment="1">
      <alignment/>
    </xf>
    <xf numFmtId="4" fontId="10" fillId="10" borderId="0" xfId="0" applyNumberFormat="1" applyFont="1" applyFill="1" applyAlignment="1">
      <alignment/>
    </xf>
    <xf numFmtId="3" fontId="24" fillId="0" borderId="0" xfId="0" applyNumberFormat="1" applyFont="1" applyAlignment="1">
      <alignment horizontal="centerContinuous" wrapText="1"/>
    </xf>
    <xf numFmtId="3" fontId="10" fillId="36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4" fontId="18" fillId="0" borderId="0" xfId="0" applyNumberFormat="1" applyFont="1" applyAlignment="1">
      <alignment/>
    </xf>
    <xf numFmtId="174" fontId="10" fillId="0" borderId="0" xfId="0" applyNumberFormat="1" applyFont="1" applyAlignment="1">
      <alignment/>
    </xf>
    <xf numFmtId="3" fontId="5" fillId="0" borderId="0" xfId="0" applyNumberFormat="1" applyFont="1" applyAlignment="1">
      <alignment horizontal="centerContinuous" wrapText="1"/>
    </xf>
    <xf numFmtId="3" fontId="18" fillId="0" borderId="0" xfId="0" applyNumberFormat="1" applyFont="1" applyAlignment="1">
      <alignment/>
    </xf>
    <xf numFmtId="173" fontId="10" fillId="0" borderId="0" xfId="0" applyNumberFormat="1" applyFont="1" applyAlignment="1">
      <alignment/>
    </xf>
    <xf numFmtId="3" fontId="21" fillId="0" borderId="0" xfId="0" applyNumberFormat="1" applyFont="1" applyAlignment="1">
      <alignment horizontal="left"/>
    </xf>
    <xf numFmtId="3" fontId="18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wrapText="1"/>
    </xf>
    <xf numFmtId="3" fontId="26" fillId="0" borderId="0" xfId="0" applyNumberFormat="1" applyFont="1" applyAlignment="1">
      <alignment wrapText="1"/>
    </xf>
    <xf numFmtId="3" fontId="9" fillId="32" borderId="10" xfId="0" applyNumberFormat="1" applyFont="1" applyFill="1" applyBorder="1" applyAlignment="1">
      <alignment horizontal="centerContinuous"/>
    </xf>
    <xf numFmtId="3" fontId="9" fillId="0" borderId="10" xfId="0" applyNumberFormat="1" applyFont="1" applyBorder="1" applyAlignment="1">
      <alignment horizontal="centerContinuous"/>
    </xf>
    <xf numFmtId="3" fontId="10" fillId="0" borderId="1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3" fontId="5" fillId="0" borderId="0" xfId="0" applyNumberFormat="1" applyFont="1" applyAlignment="1">
      <alignment wrapText="1"/>
    </xf>
    <xf numFmtId="3" fontId="27" fillId="0" borderId="0" xfId="0" applyNumberFormat="1" applyFont="1" applyAlignment="1">
      <alignment/>
    </xf>
    <xf numFmtId="3" fontId="5" fillId="0" borderId="0" xfId="0" applyNumberFormat="1" applyFont="1" applyAlignment="1">
      <alignment horizontal="centerContinuous"/>
    </xf>
    <xf numFmtId="3" fontId="8" fillId="0" borderId="0" xfId="0" applyNumberFormat="1" applyFont="1" applyAlignment="1">
      <alignment horizontal="centerContinuous"/>
    </xf>
    <xf numFmtId="3" fontId="8" fillId="0" borderId="0" xfId="0" applyNumberFormat="1" applyFont="1" applyAlignment="1">
      <alignment horizontal="centerContinuous" wrapText="1"/>
    </xf>
    <xf numFmtId="3" fontId="10" fillId="0" borderId="0" xfId="0" applyNumberFormat="1" applyFont="1" applyAlignment="1">
      <alignment horizontal="centerContinuous" wrapText="1"/>
    </xf>
    <xf numFmtId="3" fontId="10" fillId="0" borderId="0" xfId="0" applyNumberFormat="1" applyFont="1" applyAlignment="1">
      <alignment horizontal="centerContinuous" wrapText="1"/>
    </xf>
    <xf numFmtId="4" fontId="10" fillId="33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15" fontId="10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 wrapText="1"/>
    </xf>
    <xf numFmtId="0" fontId="10" fillId="0" borderId="0" xfId="0" applyNumberFormat="1" applyFont="1" applyAlignment="1">
      <alignment horizontal="centerContinuous" wrapText="1"/>
    </xf>
    <xf numFmtId="0" fontId="0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"/>
    </xf>
    <xf numFmtId="0" fontId="28" fillId="32" borderId="0" xfId="0" applyNumberFormat="1" applyFont="1" applyFill="1" applyAlignment="1">
      <alignment horizontal="center"/>
    </xf>
    <xf numFmtId="0" fontId="6" fillId="32" borderId="0" xfId="0" applyNumberFormat="1" applyFont="1" applyFill="1" applyAlignment="1">
      <alignment horizontal="center"/>
    </xf>
    <xf numFmtId="3" fontId="0" fillId="0" borderId="0" xfId="0" applyNumberFormat="1" applyFont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10" fillId="0" borderId="12" xfId="0" applyNumberFormat="1" applyFont="1" applyBorder="1" applyAlignment="1">
      <alignment/>
    </xf>
    <xf numFmtId="0" fontId="10" fillId="0" borderId="12" xfId="0" applyNumberFormat="1" applyFont="1" applyBorder="1" applyAlignment="1">
      <alignment/>
    </xf>
    <xf numFmtId="0" fontId="8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29" fillId="0" borderId="0" xfId="0" applyNumberFormat="1" applyFont="1" applyAlignment="1">
      <alignment horizontal="left"/>
    </xf>
    <xf numFmtId="0" fontId="30" fillId="0" borderId="0" xfId="0" applyNumberFormat="1" applyFont="1" applyAlignment="1">
      <alignment horizontal="center"/>
    </xf>
    <xf numFmtId="3" fontId="29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0" fontId="31" fillId="0" borderId="0" xfId="0" applyNumberFormat="1" applyFont="1" applyAlignment="1">
      <alignment horizontal="left"/>
    </xf>
    <xf numFmtId="0" fontId="32" fillId="0" borderId="0" xfId="0" applyNumberFormat="1" applyFont="1" applyAlignment="1">
      <alignment/>
    </xf>
    <xf numFmtId="0" fontId="32" fillId="0" borderId="0" xfId="0" applyNumberFormat="1" applyFont="1" applyAlignment="1">
      <alignment horizontal="center"/>
    </xf>
    <xf numFmtId="3" fontId="33" fillId="0" borderId="0" xfId="0" applyNumberFormat="1" applyFont="1" applyAlignment="1">
      <alignment/>
    </xf>
    <xf numFmtId="0" fontId="32" fillId="0" borderId="0" xfId="0" applyNumberFormat="1" applyFont="1" applyAlignment="1">
      <alignment horizontal="center"/>
    </xf>
    <xf numFmtId="0" fontId="32" fillId="0" borderId="0" xfId="0" applyNumberFormat="1" applyFont="1" applyAlignment="1">
      <alignment horizontal="left"/>
    </xf>
    <xf numFmtId="0" fontId="32" fillId="0" borderId="0" xfId="0" applyNumberFormat="1" applyFont="1" applyAlignment="1">
      <alignment wrapText="1"/>
    </xf>
    <xf numFmtId="0" fontId="32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 wrapText="1"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wrapText="1"/>
    </xf>
    <xf numFmtId="0" fontId="5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15" fontId="0" fillId="0" borderId="0" xfId="0" applyNumberFormat="1" applyFont="1" applyAlignment="1">
      <alignment horizontal="center"/>
    </xf>
    <xf numFmtId="15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15" fontId="0" fillId="0" borderId="0" xfId="0" applyNumberFormat="1" applyFont="1" applyAlignment="1">
      <alignment horizontal="center"/>
    </xf>
    <xf numFmtId="15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0" fontId="5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center"/>
    </xf>
    <xf numFmtId="3" fontId="35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0" fillId="0" borderId="13" xfId="0" applyNumberFormat="1" applyFont="1" applyBorder="1" applyAlignment="1">
      <alignment/>
    </xf>
    <xf numFmtId="0" fontId="0" fillId="0" borderId="13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/>
    </xf>
    <xf numFmtId="4" fontId="10" fillId="0" borderId="13" xfId="0" applyNumberFormat="1" applyFont="1" applyBorder="1" applyAlignment="1">
      <alignment/>
    </xf>
    <xf numFmtId="0" fontId="10" fillId="0" borderId="13" xfId="0" applyNumberFormat="1" applyFont="1" applyBorder="1" applyAlignment="1">
      <alignment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Continuous"/>
    </xf>
    <xf numFmtId="0" fontId="37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75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1" fontId="39" fillId="0" borderId="0" xfId="0" applyNumberFormat="1" applyFont="1" applyFill="1" applyAlignment="1">
      <alignment vertical="center"/>
    </xf>
    <xf numFmtId="1" fontId="40" fillId="0" borderId="0" xfId="0" applyNumberFormat="1" applyFont="1" applyFill="1" applyAlignment="1">
      <alignment/>
    </xf>
    <xf numFmtId="1" fontId="40" fillId="0" borderId="0" xfId="0" applyNumberFormat="1" applyFont="1" applyFill="1" applyAlignment="1">
      <alignment vertical="center"/>
    </xf>
    <xf numFmtId="1" fontId="39" fillId="0" borderId="0" xfId="0" applyNumberFormat="1" applyFont="1" applyFill="1" applyBorder="1" applyAlignment="1">
      <alignment vertical="center"/>
    </xf>
    <xf numFmtId="0" fontId="40" fillId="0" borderId="0" xfId="0" applyFont="1" applyFill="1" applyBorder="1" applyAlignment="1" quotePrefix="1">
      <alignment horizontal="right"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1" fontId="40" fillId="0" borderId="0" xfId="0" applyNumberFormat="1" applyFont="1" applyFill="1" applyBorder="1" applyAlignment="1" quotePrefix="1">
      <alignment horizontal="center"/>
    </xf>
    <xf numFmtId="0" fontId="6" fillId="0" borderId="0" xfId="0" applyFont="1" applyFill="1" applyAlignment="1">
      <alignment/>
    </xf>
    <xf numFmtId="1" fontId="42" fillId="0" borderId="0" xfId="0" applyNumberFormat="1" applyFont="1" applyFill="1" applyAlignment="1">
      <alignment/>
    </xf>
    <xf numFmtId="1" fontId="42" fillId="0" borderId="0" xfId="0" applyNumberFormat="1" applyFont="1" applyFill="1" applyAlignment="1">
      <alignment/>
    </xf>
    <xf numFmtId="175" fontId="42" fillId="0" borderId="0" xfId="0" applyNumberFormat="1" applyFont="1" applyFill="1" applyAlignment="1">
      <alignment/>
    </xf>
    <xf numFmtId="0" fontId="42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1" fontId="41" fillId="0" borderId="0" xfId="0" applyNumberFormat="1" applyFont="1" applyFill="1" applyAlignment="1">
      <alignment/>
    </xf>
    <xf numFmtId="1" fontId="41" fillId="0" borderId="0" xfId="0" applyNumberFormat="1" applyFont="1" applyFill="1" applyAlignment="1">
      <alignment/>
    </xf>
    <xf numFmtId="175" fontId="41" fillId="0" borderId="0" xfId="0" applyNumberFormat="1" applyFont="1" applyFill="1" applyAlignment="1">
      <alignment/>
    </xf>
    <xf numFmtId="0" fontId="41" fillId="0" borderId="0" xfId="0" applyNumberFormat="1" applyFont="1" applyFill="1" applyAlignment="1">
      <alignment/>
    </xf>
    <xf numFmtId="0" fontId="41" fillId="0" borderId="0" xfId="0" applyFont="1" applyFill="1" applyAlignment="1">
      <alignment/>
    </xf>
    <xf numFmtId="1" fontId="43" fillId="0" borderId="0" xfId="0" applyNumberFormat="1" applyFont="1" applyFill="1" applyAlignment="1">
      <alignment/>
    </xf>
    <xf numFmtId="1" fontId="43" fillId="0" borderId="0" xfId="0" applyNumberFormat="1" applyFont="1" applyFill="1" applyAlignment="1">
      <alignment/>
    </xf>
    <xf numFmtId="175" fontId="43" fillId="0" borderId="0" xfId="0" applyNumberFormat="1" applyFont="1" applyFill="1" applyAlignment="1">
      <alignment/>
    </xf>
    <xf numFmtId="0" fontId="43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1" fontId="40" fillId="0" borderId="0" xfId="0" applyNumberFormat="1" applyFont="1" applyFill="1" applyAlignment="1">
      <alignment/>
    </xf>
    <xf numFmtId="175" fontId="40" fillId="0" borderId="0" xfId="0" applyNumberFormat="1" applyFont="1" applyFill="1" applyAlignment="1">
      <alignment/>
    </xf>
    <xf numFmtId="0" fontId="40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5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5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1" fontId="6" fillId="0" borderId="0" xfId="0" applyNumberFormat="1" applyFont="1" applyFill="1" applyBorder="1" applyAlignment="1">
      <alignment/>
    </xf>
    <xf numFmtId="175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" fontId="40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75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1" fontId="44" fillId="0" borderId="0" xfId="0" applyNumberFormat="1" applyFont="1" applyFill="1" applyAlignment="1">
      <alignment vertical="center"/>
    </xf>
    <xf numFmtId="1" fontId="44" fillId="0" borderId="0" xfId="0" applyNumberFormat="1" applyFont="1" applyFill="1" applyAlignment="1">
      <alignment/>
    </xf>
    <xf numFmtId="1" fontId="44" fillId="0" borderId="14" xfId="0" applyNumberFormat="1" applyFont="1" applyFill="1" applyBorder="1" applyAlignment="1">
      <alignment vertical="center"/>
    </xf>
    <xf numFmtId="1" fontId="44" fillId="0" borderId="15" xfId="0" applyNumberFormat="1" applyFont="1" applyFill="1" applyBorder="1" applyAlignment="1">
      <alignment/>
    </xf>
    <xf numFmtId="1" fontId="44" fillId="0" borderId="16" xfId="0" applyNumberFormat="1" applyFont="1" applyFill="1" applyBorder="1" applyAlignment="1">
      <alignment horizontal="center"/>
    </xf>
    <xf numFmtId="1" fontId="44" fillId="0" borderId="17" xfId="0" applyNumberFormat="1" applyFont="1" applyFill="1" applyBorder="1" applyAlignment="1">
      <alignment vertical="center"/>
    </xf>
    <xf numFmtId="0" fontId="44" fillId="32" borderId="18" xfId="0" applyFont="1" applyFill="1" applyBorder="1" applyAlignment="1">
      <alignment horizontal="center"/>
    </xf>
    <xf numFmtId="0" fontId="44" fillId="32" borderId="0" xfId="0" applyFont="1" applyFill="1" applyBorder="1" applyAlignment="1">
      <alignment horizontal="center"/>
    </xf>
    <xf numFmtId="0" fontId="44" fillId="32" borderId="19" xfId="0" applyFont="1" applyFill="1" applyBorder="1" applyAlignment="1">
      <alignment horizontal="center"/>
    </xf>
    <xf numFmtId="1" fontId="44" fillId="0" borderId="20" xfId="0" applyNumberFormat="1" applyFont="1" applyFill="1" applyBorder="1" applyAlignment="1">
      <alignment horizontal="center"/>
    </xf>
    <xf numFmtId="1" fontId="44" fillId="0" borderId="17" xfId="0" applyNumberFormat="1" applyFont="1" applyFill="1" applyBorder="1" applyAlignment="1">
      <alignment horizontal="center" vertical="center"/>
    </xf>
    <xf numFmtId="0" fontId="44" fillId="32" borderId="18" xfId="0" applyFont="1" applyFill="1" applyBorder="1" applyAlignment="1" quotePrefix="1">
      <alignment horizontal="center"/>
    </xf>
    <xf numFmtId="0" fontId="44" fillId="32" borderId="19" xfId="0" applyFont="1" applyFill="1" applyBorder="1" applyAlignment="1" quotePrefix="1">
      <alignment horizontal="center"/>
    </xf>
    <xf numFmtId="1" fontId="44" fillId="0" borderId="21" xfId="0" applyNumberFormat="1" applyFont="1" applyFill="1" applyBorder="1" applyAlignment="1">
      <alignment vertical="center"/>
    </xf>
    <xf numFmtId="0" fontId="26" fillId="0" borderId="22" xfId="0" applyFont="1" applyFill="1" applyBorder="1" applyAlignment="1">
      <alignment vertical="center"/>
    </xf>
    <xf numFmtId="1" fontId="44" fillId="0" borderId="23" xfId="0" applyNumberFormat="1" applyFont="1" applyFill="1" applyBorder="1" applyAlignment="1" quotePrefix="1">
      <alignment horizontal="center"/>
    </xf>
    <xf numFmtId="0" fontId="26" fillId="0" borderId="24" xfId="0" applyFont="1" applyFill="1" applyBorder="1" applyAlignment="1">
      <alignment vertical="center"/>
    </xf>
    <xf numFmtId="0" fontId="44" fillId="32" borderId="20" xfId="0" applyFont="1" applyFill="1" applyBorder="1" applyAlignment="1" quotePrefix="1">
      <alignment horizontal="center"/>
    </xf>
    <xf numFmtId="1" fontId="44" fillId="0" borderId="25" xfId="0" applyNumberFormat="1" applyFont="1" applyFill="1" applyBorder="1" applyAlignment="1">
      <alignment horizontal="center" vertical="center"/>
    </xf>
    <xf numFmtId="1" fontId="44" fillId="0" borderId="26" xfId="0" applyNumberFormat="1" applyFont="1" applyFill="1" applyBorder="1" applyAlignment="1">
      <alignment horizontal="center"/>
    </xf>
    <xf numFmtId="1" fontId="44" fillId="0" borderId="27" xfId="0" applyNumberFormat="1" applyFont="1" applyFill="1" applyBorder="1" applyAlignment="1">
      <alignment horizontal="center"/>
    </xf>
    <xf numFmtId="1" fontId="44" fillId="0" borderId="28" xfId="0" applyNumberFormat="1" applyFont="1" applyFill="1" applyBorder="1" applyAlignment="1">
      <alignment horizontal="center"/>
    </xf>
    <xf numFmtId="1" fontId="44" fillId="0" borderId="29" xfId="0" applyNumberFormat="1" applyFont="1" applyFill="1" applyBorder="1" applyAlignment="1">
      <alignment horizontal="center"/>
    </xf>
    <xf numFmtId="1" fontId="44" fillId="0" borderId="18" xfId="0" applyNumberFormat="1" applyFont="1" applyFill="1" applyBorder="1" applyAlignment="1">
      <alignment/>
    </xf>
    <xf numFmtId="1" fontId="44" fillId="0" borderId="20" xfId="0" applyNumberFormat="1" applyFont="1" applyFill="1" applyBorder="1" applyAlignment="1">
      <alignment/>
    </xf>
    <xf numFmtId="1" fontId="1" fillId="0" borderId="17" xfId="0" applyNumberFormat="1" applyFont="1" applyFill="1" applyBorder="1" applyAlignment="1">
      <alignment horizontal="left" vertical="center"/>
    </xf>
    <xf numFmtId="1" fontId="44" fillId="0" borderId="18" xfId="0" applyNumberFormat="1" applyFont="1" applyFill="1" applyBorder="1" applyAlignment="1">
      <alignment horizontal="center"/>
    </xf>
    <xf numFmtId="1" fontId="1" fillId="0" borderId="17" xfId="0" applyNumberFormat="1" applyFont="1" applyFill="1" applyBorder="1" applyAlignment="1">
      <alignment vertical="center"/>
    </xf>
    <xf numFmtId="1" fontId="1" fillId="0" borderId="17" xfId="0" applyNumberFormat="1" applyFont="1" applyFill="1" applyBorder="1" applyAlignment="1">
      <alignment horizontal="left" vertical="center" indent="2"/>
    </xf>
    <xf numFmtId="1" fontId="2" fillId="0" borderId="18" xfId="0" applyNumberFormat="1" applyFont="1" applyFill="1" applyBorder="1" applyAlignment="1">
      <alignment horizontal="center"/>
    </xf>
    <xf numFmtId="1" fontId="2" fillId="0" borderId="20" xfId="0" applyNumberFormat="1" applyFont="1" applyFill="1" applyBorder="1" applyAlignment="1">
      <alignment horizontal="center"/>
    </xf>
    <xf numFmtId="1" fontId="1" fillId="0" borderId="17" xfId="0" applyNumberFormat="1" applyFont="1" applyFill="1" applyBorder="1" applyAlignment="1">
      <alignment horizontal="left" vertical="center" wrapText="1" indent="2"/>
    </xf>
    <xf numFmtId="4" fontId="1" fillId="0" borderId="17" xfId="0" applyNumberFormat="1" applyFont="1" applyFill="1" applyBorder="1" applyAlignment="1">
      <alignment horizontal="left" vertical="top" wrapText="1" indent="2"/>
    </xf>
    <xf numFmtId="49" fontId="1" fillId="0" borderId="18" xfId="0" applyNumberFormat="1" applyFont="1" applyFill="1" applyBorder="1" applyAlignment="1">
      <alignment horizontal="left" vertical="center" wrapText="1"/>
    </xf>
    <xf numFmtId="49" fontId="1" fillId="0" borderId="18" xfId="0" applyNumberFormat="1" applyFont="1" applyFill="1" applyBorder="1" applyAlignment="1">
      <alignment horizontal="left" vertical="center" wrapText="1" indent="2"/>
    </xf>
    <xf numFmtId="1" fontId="1" fillId="0" borderId="18" xfId="0" applyNumberFormat="1" applyFont="1" applyFill="1" applyBorder="1" applyAlignment="1">
      <alignment vertical="center"/>
    </xf>
    <xf numFmtId="1" fontId="1" fillId="0" borderId="17" xfId="0" applyNumberFormat="1" applyFont="1" applyFill="1" applyBorder="1" applyAlignment="1">
      <alignment vertical="center" wrapText="1"/>
    </xf>
    <xf numFmtId="1" fontId="44" fillId="0" borderId="17" xfId="0" applyNumberFormat="1" applyFont="1" applyFill="1" applyBorder="1" applyAlignment="1">
      <alignment horizontal="left" vertical="center"/>
    </xf>
    <xf numFmtId="1" fontId="1" fillId="0" borderId="17" xfId="0" applyNumberFormat="1" applyFont="1" applyFill="1" applyBorder="1" applyAlignment="1">
      <alignment horizontal="left" vertical="center" wrapText="1"/>
    </xf>
    <xf numFmtId="1" fontId="44" fillId="0" borderId="17" xfId="0" applyNumberFormat="1" applyFont="1" applyFill="1" applyBorder="1" applyAlignment="1">
      <alignment horizontal="left" vertical="center" indent="4"/>
    </xf>
    <xf numFmtId="1" fontId="44" fillId="0" borderId="17" xfId="0" applyNumberFormat="1" applyFont="1" applyFill="1" applyBorder="1" applyAlignment="1">
      <alignment vertical="center" wrapText="1"/>
    </xf>
    <xf numFmtId="1" fontId="3" fillId="0" borderId="17" xfId="0" applyNumberFormat="1" applyFont="1" applyFill="1" applyBorder="1" applyAlignment="1">
      <alignment vertical="center"/>
    </xf>
    <xf numFmtId="1" fontId="3" fillId="0" borderId="17" xfId="0" applyNumberFormat="1" applyFont="1" applyFill="1" applyBorder="1" applyAlignment="1">
      <alignment vertical="center" wrapText="1"/>
    </xf>
    <xf numFmtId="0" fontId="3" fillId="0" borderId="17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1" fontId="44" fillId="0" borderId="17" xfId="0" applyNumberFormat="1" applyFont="1" applyFill="1" applyBorder="1" applyAlignment="1">
      <alignment horizontal="left" vertical="center" wrapText="1" indent="1"/>
    </xf>
    <xf numFmtId="1" fontId="44" fillId="0" borderId="17" xfId="0" applyNumberFormat="1" applyFont="1" applyFill="1" applyBorder="1" applyAlignment="1">
      <alignment horizontal="left" vertical="center" indent="3"/>
    </xf>
    <xf numFmtId="1" fontId="44" fillId="0" borderId="17" xfId="0" applyNumberFormat="1" applyFont="1" applyFill="1" applyBorder="1" applyAlignment="1">
      <alignment horizontal="left" vertical="center" wrapText="1"/>
    </xf>
    <xf numFmtId="1" fontId="1" fillId="0" borderId="17" xfId="0" applyNumberFormat="1" applyFont="1" applyFill="1" applyBorder="1" applyAlignment="1">
      <alignment horizontal="left" vertical="center" wrapText="1" indent="2"/>
    </xf>
    <xf numFmtId="1" fontId="5" fillId="0" borderId="18" xfId="0" applyNumberFormat="1" applyFont="1" applyFill="1" applyBorder="1" applyAlignment="1">
      <alignment vertical="center" wrapText="1"/>
    </xf>
    <xf numFmtId="1" fontId="5" fillId="0" borderId="20" xfId="0" applyNumberFormat="1" applyFont="1" applyFill="1" applyBorder="1" applyAlignment="1">
      <alignment horizontal="center"/>
    </xf>
    <xf numFmtId="1" fontId="44" fillId="0" borderId="17" xfId="0" applyNumberFormat="1" applyFont="1" applyFill="1" applyBorder="1" applyAlignment="1">
      <alignment horizontal="left" vertical="center" wrapText="1" indent="3"/>
    </xf>
    <xf numFmtId="1" fontId="44" fillId="0" borderId="17" xfId="0" applyNumberFormat="1" applyFont="1" applyFill="1" applyBorder="1" applyAlignment="1">
      <alignment horizontal="left" vertical="center" wrapText="1" indent="4"/>
    </xf>
    <xf numFmtId="1" fontId="1" fillId="0" borderId="17" xfId="0" applyNumberFormat="1" applyFont="1" applyFill="1" applyBorder="1" applyAlignment="1">
      <alignment horizontal="centerContinuous" vertical="center" wrapText="1"/>
    </xf>
    <xf numFmtId="1" fontId="1" fillId="0" borderId="17" xfId="0" applyNumberFormat="1" applyFont="1" applyFill="1" applyBorder="1" applyAlignment="1">
      <alignment vertical="center" wrapText="1"/>
    </xf>
    <xf numFmtId="1" fontId="5" fillId="0" borderId="18" xfId="0" applyNumberFormat="1" applyFont="1" applyFill="1" applyBorder="1" applyAlignment="1">
      <alignment horizontal="center" vertical="center" wrapText="1"/>
    </xf>
    <xf numFmtId="1" fontId="1" fillId="0" borderId="20" xfId="0" applyNumberFormat="1" applyFont="1" applyFill="1" applyBorder="1" applyAlignment="1">
      <alignment horizontal="center"/>
    </xf>
    <xf numFmtId="1" fontId="1" fillId="0" borderId="18" xfId="0" applyNumberFormat="1" applyFont="1" applyFill="1" applyBorder="1" applyAlignment="1">
      <alignment horizontal="center"/>
    </xf>
    <xf numFmtId="0" fontId="45" fillId="0" borderId="17" xfId="0" applyFont="1" applyFill="1" applyBorder="1" applyAlignment="1">
      <alignment horizontal="left" indent="3"/>
    </xf>
    <xf numFmtId="0" fontId="44" fillId="0" borderId="17" xfId="0" applyFont="1" applyFill="1" applyBorder="1" applyAlignment="1">
      <alignment horizontal="left" indent="1"/>
    </xf>
    <xf numFmtId="0" fontId="44" fillId="0" borderId="18" xfId="0" applyFont="1" applyFill="1" applyBorder="1" applyAlignment="1">
      <alignment/>
    </xf>
    <xf numFmtId="1" fontId="46" fillId="0" borderId="17" xfId="0" applyNumberFormat="1" applyFont="1" applyFill="1" applyBorder="1" applyAlignment="1">
      <alignment vertical="center"/>
    </xf>
    <xf numFmtId="1" fontId="0" fillId="0" borderId="18" xfId="0" applyNumberFormat="1" applyFont="1" applyFill="1" applyBorder="1" applyAlignment="1">
      <alignment horizontal="center"/>
    </xf>
    <xf numFmtId="1" fontId="44" fillId="0" borderId="17" xfId="0" applyNumberFormat="1" applyFont="1" applyFill="1" applyBorder="1" applyAlignment="1">
      <alignment horizontal="left" vertical="center" wrapText="1" indent="5"/>
    </xf>
    <xf numFmtId="1" fontId="44" fillId="0" borderId="17" xfId="0" applyNumberFormat="1" applyFont="1" applyFill="1" applyBorder="1" applyAlignment="1">
      <alignment horizontal="centerContinuous" vertical="center" wrapText="1"/>
    </xf>
    <xf numFmtId="1" fontId="44" fillId="0" borderId="17" xfId="0" applyNumberFormat="1" applyFont="1" applyFill="1" applyBorder="1" applyAlignment="1">
      <alignment horizontal="left" vertical="center" indent="1"/>
    </xf>
    <xf numFmtId="1" fontId="44" fillId="0" borderId="17" xfId="0" applyNumberFormat="1" applyFont="1" applyFill="1" applyBorder="1" applyAlignment="1">
      <alignment horizontal="left" vertical="center" wrapText="1" indent="2"/>
    </xf>
    <xf numFmtId="1" fontId="44" fillId="0" borderId="17" xfId="0" applyNumberFormat="1" applyFont="1" applyFill="1" applyBorder="1" applyAlignment="1">
      <alignment horizontal="left" vertical="center" indent="2"/>
    </xf>
    <xf numFmtId="1" fontId="1" fillId="0" borderId="17" xfId="0" applyNumberFormat="1" applyFont="1" applyFill="1" applyBorder="1" applyAlignment="1">
      <alignment horizontal="left" vertical="center" indent="1"/>
    </xf>
    <xf numFmtId="1" fontId="1" fillId="0" borderId="17" xfId="0" applyNumberFormat="1" applyFont="1" applyFill="1" applyBorder="1" applyAlignment="1">
      <alignment horizontal="left" vertical="center" wrapText="1" indent="1"/>
    </xf>
    <xf numFmtId="49" fontId="1" fillId="0" borderId="0" xfId="0" applyNumberFormat="1" applyFont="1" applyFill="1" applyBorder="1" applyAlignment="1">
      <alignment horizontal="left" vertical="center" wrapText="1"/>
    </xf>
    <xf numFmtId="1" fontId="5" fillId="0" borderId="18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1" fontId="44" fillId="0" borderId="17" xfId="0" applyNumberFormat="1" applyFont="1" applyFill="1" applyBorder="1" applyAlignment="1" quotePrefix="1">
      <alignment horizontal="left" vertical="center" wrapText="1" indent="7"/>
    </xf>
    <xf numFmtId="1" fontId="46" fillId="0" borderId="17" xfId="0" applyNumberFormat="1" applyFont="1" applyFill="1" applyBorder="1" applyAlignment="1">
      <alignment horizontal="left" vertical="center" wrapText="1"/>
    </xf>
    <xf numFmtId="1" fontId="5" fillId="0" borderId="18" xfId="0" applyNumberFormat="1" applyFont="1" applyFill="1" applyBorder="1" applyAlignment="1">
      <alignment horizontal="center"/>
    </xf>
    <xf numFmtId="1" fontId="44" fillId="0" borderId="30" xfId="0" applyNumberFormat="1" applyFont="1" applyFill="1" applyBorder="1" applyAlignment="1">
      <alignment vertical="center" wrapText="1"/>
    </xf>
    <xf numFmtId="1" fontId="44" fillId="0" borderId="22" xfId="0" applyNumberFormat="1" applyFont="1" applyFill="1" applyBorder="1" applyAlignment="1">
      <alignment horizontal="center"/>
    </xf>
    <xf numFmtId="1" fontId="44" fillId="0" borderId="31" xfId="0" applyNumberFormat="1" applyFont="1" applyFill="1" applyBorder="1" applyAlignment="1">
      <alignment horizontal="center"/>
    </xf>
    <xf numFmtId="1" fontId="1" fillId="0" borderId="18" xfId="0" applyNumberFormat="1" applyFont="1" applyFill="1" applyBorder="1" applyAlignment="1">
      <alignment horizontal="center"/>
    </xf>
    <xf numFmtId="1" fontId="1" fillId="0" borderId="20" xfId="0" applyNumberFormat="1" applyFont="1" applyFill="1" applyBorder="1" applyAlignment="1">
      <alignment horizontal="center"/>
    </xf>
    <xf numFmtId="1" fontId="44" fillId="0" borderId="30" xfId="0" applyNumberFormat="1" applyFont="1" applyFill="1" applyBorder="1" applyAlignment="1">
      <alignment horizontal="left" vertical="center"/>
    </xf>
    <xf numFmtId="1" fontId="44" fillId="0" borderId="0" xfId="0" applyNumberFormat="1" applyFont="1" applyFill="1" applyBorder="1" applyAlignment="1">
      <alignment horizontal="left" vertical="center"/>
    </xf>
    <xf numFmtId="1" fontId="44" fillId="0" borderId="0" xfId="0" applyNumberFormat="1" applyFont="1" applyFill="1" applyBorder="1" applyAlignment="1">
      <alignment horizontal="center"/>
    </xf>
    <xf numFmtId="1" fontId="44" fillId="0" borderId="0" xfId="0" applyNumberFormat="1" applyFont="1" applyFill="1" applyAlignment="1">
      <alignment horizontal="left" vertical="center" wrapText="1"/>
    </xf>
    <xf numFmtId="1" fontId="44" fillId="0" borderId="0" xfId="0" applyNumberFormat="1" applyFont="1" applyFill="1" applyAlignment="1">
      <alignment horizontal="center"/>
    </xf>
    <xf numFmtId="1" fontId="47" fillId="0" borderId="0" xfId="0" applyNumberFormat="1" applyFont="1" applyFill="1" applyAlignment="1">
      <alignment horizontal="center" vertical="top" wrapText="1"/>
    </xf>
    <xf numFmtId="1" fontId="0" fillId="0" borderId="0" xfId="0" applyNumberFormat="1" applyFont="1" applyFill="1" applyAlignment="1">
      <alignment vertical="top" wrapText="1"/>
    </xf>
    <xf numFmtId="1" fontId="44" fillId="0" borderId="0" xfId="0" applyNumberFormat="1" applyFont="1" applyFill="1" applyAlignment="1">
      <alignment horizontal="left" vertical="center"/>
    </xf>
    <xf numFmtId="1" fontId="1" fillId="0" borderId="0" xfId="0" applyNumberFormat="1" applyFont="1" applyFill="1" applyAlignment="1">
      <alignment horizontal="centerContinuous" vertical="center" wrapText="1"/>
    </xf>
    <xf numFmtId="1" fontId="50" fillId="0" borderId="17" xfId="0" applyNumberFormat="1" applyFont="1" applyFill="1" applyBorder="1" applyAlignment="1">
      <alignment vertical="center"/>
    </xf>
    <xf numFmtId="49" fontId="48" fillId="32" borderId="0" xfId="0" applyNumberFormat="1" applyFont="1" applyFill="1" applyBorder="1" applyAlignment="1">
      <alignment horizontal="left" vertical="center" indent="4"/>
    </xf>
    <xf numFmtId="0" fontId="48" fillId="32" borderId="0" xfId="0" applyFont="1" applyFill="1" applyBorder="1" applyAlignment="1">
      <alignment horizontal="left" vertical="center" indent="4"/>
    </xf>
    <xf numFmtId="49" fontId="86" fillId="32" borderId="0" xfId="0" applyNumberFormat="1" applyFont="1" applyFill="1" applyBorder="1" applyAlignment="1">
      <alignment horizontal="left" vertical="center" indent="4"/>
    </xf>
    <xf numFmtId="49" fontId="49" fillId="32" borderId="0" xfId="0" applyNumberFormat="1" applyFont="1" applyFill="1" applyBorder="1" applyAlignment="1" quotePrefix="1">
      <alignment horizontal="left" vertical="center" indent="4"/>
    </xf>
    <xf numFmtId="49" fontId="48" fillId="32" borderId="0" xfId="0" applyNumberFormat="1" applyFont="1" applyFill="1" applyBorder="1" applyAlignment="1" quotePrefix="1">
      <alignment horizontal="left" vertical="center" indent="4"/>
    </xf>
    <xf numFmtId="1" fontId="1" fillId="0" borderId="20" xfId="0" applyNumberFormat="1" applyFont="1" applyFill="1" applyBorder="1" applyAlignment="1">
      <alignment vertical="center" wrapText="1"/>
    </xf>
    <xf numFmtId="1" fontId="1" fillId="0" borderId="18" xfId="0" applyNumberFormat="1" applyFont="1" applyFill="1" applyBorder="1" applyAlignment="1">
      <alignment vertical="center" wrapText="1"/>
    </xf>
    <xf numFmtId="1" fontId="39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44" fillId="0" borderId="0" xfId="0" applyNumberFormat="1" applyFont="1" applyFill="1" applyBorder="1" applyAlignment="1">
      <alignment horizontal="left" vertic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6"/>
  <sheetViews>
    <sheetView zoomScale="87" zoomScaleNormal="87" zoomScalePageLayoutView="0" workbookViewId="0" topLeftCell="A1">
      <selection activeCell="A273" sqref="A273"/>
    </sheetView>
  </sheetViews>
  <sheetFormatPr defaultColWidth="9.6640625" defaultRowHeight="15"/>
  <cols>
    <col min="1" max="1" width="36.6640625" style="3" customWidth="1"/>
    <col min="2" max="3" width="11.6640625" style="3" customWidth="1"/>
    <col min="4" max="5" width="12.6640625" style="3" customWidth="1"/>
    <col min="6" max="6" width="11.6640625" style="3" customWidth="1"/>
    <col min="7" max="9" width="11.6640625" style="3" hidden="1" customWidth="1"/>
    <col min="10" max="10" width="11.6640625" style="3" customWidth="1"/>
    <col min="11" max="11" width="10.6640625" style="3" customWidth="1"/>
    <col min="12" max="16384" width="9.6640625" style="3" customWidth="1"/>
  </cols>
  <sheetData>
    <row r="1" spans="1:5" ht="15">
      <c r="A1" s="2"/>
      <c r="B1" s="2"/>
      <c r="D1" s="4" t="s">
        <v>284</v>
      </c>
      <c r="E1" s="4"/>
    </row>
    <row r="3" spans="1:11" ht="15.75">
      <c r="A3" s="5" t="s">
        <v>756</v>
      </c>
      <c r="B3" s="6">
        <v>2005</v>
      </c>
      <c r="C3" s="7">
        <v>2006</v>
      </c>
      <c r="D3" s="8" t="s">
        <v>285</v>
      </c>
      <c r="E3" s="8" t="s">
        <v>287</v>
      </c>
      <c r="F3" s="9">
        <v>2007</v>
      </c>
      <c r="G3" s="10">
        <v>2008</v>
      </c>
      <c r="H3" s="10">
        <v>2009</v>
      </c>
      <c r="I3" s="11">
        <v>2010</v>
      </c>
      <c r="J3" s="12" t="s">
        <v>295</v>
      </c>
      <c r="K3" s="3" t="s">
        <v>297</v>
      </c>
    </row>
    <row r="4" spans="1:9" ht="15">
      <c r="A4" s="13"/>
      <c r="B4" s="14"/>
      <c r="C4" s="14"/>
      <c r="D4" s="14"/>
      <c r="E4" s="14"/>
      <c r="F4" s="15"/>
      <c r="G4" s="15"/>
      <c r="H4" s="14"/>
      <c r="I4" s="14"/>
    </row>
    <row r="5" spans="1:9" ht="30">
      <c r="A5" s="16" t="s">
        <v>757</v>
      </c>
      <c r="B5" s="17">
        <v>287.2</v>
      </c>
      <c r="C5" s="18"/>
      <c r="D5" s="18">
        <v>335.9</v>
      </c>
      <c r="E5" s="18">
        <v>335.9</v>
      </c>
      <c r="F5" s="19">
        <v>381.9</v>
      </c>
      <c r="G5" s="17">
        <v>426.3</v>
      </c>
      <c r="H5" s="18">
        <v>469.4</v>
      </c>
      <c r="I5" s="18">
        <v>512.1</v>
      </c>
    </row>
    <row r="6" spans="1:9" ht="15">
      <c r="A6" s="2" t="s">
        <v>758</v>
      </c>
      <c r="C6" s="3">
        <v>106</v>
      </c>
      <c r="F6" s="3">
        <v>105</v>
      </c>
      <c r="G6" s="17">
        <v>103.6</v>
      </c>
      <c r="H6" s="18">
        <v>103</v>
      </c>
      <c r="I6" s="18">
        <v>102.7</v>
      </c>
    </row>
    <row r="7" spans="1:9" ht="15">
      <c r="A7" s="13" t="s">
        <v>759</v>
      </c>
      <c r="C7" s="3">
        <v>105</v>
      </c>
      <c r="F7" s="17">
        <v>104.5</v>
      </c>
      <c r="G7" s="3">
        <v>103</v>
      </c>
      <c r="H7" s="3">
        <v>103</v>
      </c>
      <c r="I7" s="17">
        <v>102.5</v>
      </c>
    </row>
    <row r="8" spans="1:9" ht="30">
      <c r="A8" s="20" t="s">
        <v>760</v>
      </c>
      <c r="F8" s="2">
        <v>105</v>
      </c>
      <c r="G8" s="3">
        <v>104</v>
      </c>
      <c r="H8" s="17">
        <v>103.5</v>
      </c>
      <c r="I8" s="2">
        <v>103</v>
      </c>
    </row>
    <row r="9" spans="1:9" ht="30">
      <c r="A9" s="21" t="s">
        <v>761</v>
      </c>
      <c r="F9" s="2">
        <v>101</v>
      </c>
      <c r="G9" s="17">
        <v>103.6</v>
      </c>
      <c r="H9" s="17">
        <v>103</v>
      </c>
      <c r="I9" s="17">
        <v>102.7</v>
      </c>
    </row>
    <row r="10" spans="1:11" ht="30">
      <c r="A10" s="22" t="s">
        <v>762</v>
      </c>
      <c r="C10" s="3">
        <v>4630</v>
      </c>
      <c r="F10" s="17">
        <v>4653.5</v>
      </c>
      <c r="G10" s="3">
        <v>4683</v>
      </c>
      <c r="H10" s="3">
        <v>4708</v>
      </c>
      <c r="I10" s="3">
        <v>4733</v>
      </c>
      <c r="J10" s="17">
        <v>4653.5</v>
      </c>
      <c r="K10" s="3">
        <f aca="true" t="shared" si="0" ref="K10:K44">J10-F10</f>
        <v>0</v>
      </c>
    </row>
    <row r="11" spans="1:11" ht="15">
      <c r="A11" s="13" t="s">
        <v>763</v>
      </c>
      <c r="C11" s="17">
        <v>304.5</v>
      </c>
      <c r="D11" s="17">
        <v>309</v>
      </c>
      <c r="E11" s="17">
        <v>309</v>
      </c>
      <c r="F11" s="17">
        <v>377.6</v>
      </c>
      <c r="G11" s="17">
        <v>463.2</v>
      </c>
      <c r="H11" s="17">
        <v>475.2</v>
      </c>
      <c r="I11" s="18">
        <v>518.9</v>
      </c>
      <c r="J11" s="17">
        <v>377.6</v>
      </c>
      <c r="K11" s="3">
        <f t="shared" si="0"/>
        <v>0</v>
      </c>
    </row>
    <row r="12" spans="1:11" ht="30">
      <c r="A12" s="23" t="s">
        <v>764</v>
      </c>
      <c r="C12" s="3">
        <v>36110</v>
      </c>
      <c r="D12" s="3">
        <v>36110</v>
      </c>
      <c r="E12" s="3">
        <v>36110</v>
      </c>
      <c r="F12" s="3">
        <v>35500</v>
      </c>
      <c r="G12" s="3">
        <v>35450</v>
      </c>
      <c r="H12" s="3">
        <v>34500</v>
      </c>
      <c r="I12" s="3">
        <v>34000</v>
      </c>
      <c r="J12" s="3">
        <v>35500</v>
      </c>
      <c r="K12" s="3">
        <f t="shared" si="0"/>
        <v>0</v>
      </c>
    </row>
    <row r="13" spans="1:11" ht="15">
      <c r="A13" s="24" t="s">
        <v>765</v>
      </c>
      <c r="C13" s="17">
        <v>1065.4</v>
      </c>
      <c r="D13" s="17">
        <v>1065.4</v>
      </c>
      <c r="E13" s="17">
        <v>1065.4</v>
      </c>
      <c r="F13" s="3">
        <v>1270</v>
      </c>
      <c r="G13" s="3">
        <v>1400</v>
      </c>
      <c r="H13" s="3">
        <v>1535</v>
      </c>
      <c r="I13" s="3">
        <v>1670</v>
      </c>
      <c r="J13" s="3">
        <v>1270</v>
      </c>
      <c r="K13" s="3">
        <f t="shared" si="0"/>
        <v>0</v>
      </c>
    </row>
    <row r="14" spans="1:12" ht="15.75">
      <c r="A14" s="2" t="s">
        <v>766</v>
      </c>
      <c r="C14" s="3">
        <v>330</v>
      </c>
      <c r="D14" s="3">
        <v>330</v>
      </c>
      <c r="E14" s="3">
        <v>330</v>
      </c>
      <c r="F14" s="25">
        <v>350</v>
      </c>
      <c r="G14" s="3">
        <v>360</v>
      </c>
      <c r="H14" s="3">
        <v>370</v>
      </c>
      <c r="I14" s="3">
        <v>380</v>
      </c>
      <c r="J14" s="26">
        <v>390</v>
      </c>
      <c r="K14" s="27">
        <f t="shared" si="0"/>
        <v>40</v>
      </c>
      <c r="L14" s="3" t="s">
        <v>299</v>
      </c>
    </row>
    <row r="15" spans="1:11" ht="15">
      <c r="A15" s="13" t="s">
        <v>767</v>
      </c>
      <c r="C15" s="28">
        <v>2.84</v>
      </c>
      <c r="F15" s="28">
        <v>2.85</v>
      </c>
      <c r="G15" s="28">
        <v>2.83</v>
      </c>
      <c r="H15" s="29">
        <v>2.82</v>
      </c>
      <c r="I15" s="29">
        <v>2.86</v>
      </c>
      <c r="J15" s="28">
        <v>2.85</v>
      </c>
      <c r="K15" s="3">
        <f t="shared" si="0"/>
        <v>0</v>
      </c>
    </row>
    <row r="16" spans="1:11" ht="30">
      <c r="A16" s="22" t="s">
        <v>768</v>
      </c>
      <c r="C16" s="3">
        <v>439</v>
      </c>
      <c r="F16" s="3">
        <v>470</v>
      </c>
      <c r="G16" s="3">
        <v>470</v>
      </c>
      <c r="H16" s="3">
        <v>470</v>
      </c>
      <c r="I16" s="3">
        <v>470</v>
      </c>
      <c r="J16" s="3">
        <v>470</v>
      </c>
      <c r="K16" s="3">
        <f t="shared" si="0"/>
        <v>0</v>
      </c>
    </row>
    <row r="17" spans="1:11" ht="30">
      <c r="A17" s="23" t="s">
        <v>0</v>
      </c>
      <c r="C17" s="3">
        <v>6</v>
      </c>
      <c r="D17" s="3">
        <v>6</v>
      </c>
      <c r="E17" s="3">
        <v>6</v>
      </c>
      <c r="F17" s="2">
        <v>6</v>
      </c>
      <c r="G17" s="3">
        <v>6</v>
      </c>
      <c r="H17" s="3">
        <v>6</v>
      </c>
      <c r="I17" s="3">
        <v>6</v>
      </c>
      <c r="J17" s="2">
        <v>6</v>
      </c>
      <c r="K17" s="3">
        <f t="shared" si="0"/>
        <v>0</v>
      </c>
    </row>
    <row r="18" spans="1:11" ht="30">
      <c r="A18" s="30" t="s">
        <v>1</v>
      </c>
      <c r="C18" s="3">
        <v>646</v>
      </c>
      <c r="F18" s="3">
        <v>661</v>
      </c>
      <c r="G18" s="3">
        <v>884</v>
      </c>
      <c r="H18" s="3">
        <v>910</v>
      </c>
      <c r="I18" s="3">
        <v>938</v>
      </c>
      <c r="J18" s="3">
        <v>661</v>
      </c>
      <c r="K18" s="3">
        <f t="shared" si="0"/>
        <v>0</v>
      </c>
    </row>
    <row r="19" spans="1:11" ht="30">
      <c r="A19" s="31" t="s">
        <v>2</v>
      </c>
      <c r="C19" s="2">
        <v>698</v>
      </c>
      <c r="D19" s="2">
        <v>698</v>
      </c>
      <c r="E19" s="2">
        <v>698</v>
      </c>
      <c r="F19" s="28">
        <v>798.33</v>
      </c>
      <c r="G19" s="3">
        <v>884</v>
      </c>
      <c r="H19" s="3">
        <v>910</v>
      </c>
      <c r="I19" s="3">
        <v>938</v>
      </c>
      <c r="J19" s="28">
        <v>798.33</v>
      </c>
      <c r="K19" s="3">
        <f t="shared" si="0"/>
        <v>0</v>
      </c>
    </row>
    <row r="20" spans="1:11" ht="45">
      <c r="A20" s="23" t="s">
        <v>4</v>
      </c>
      <c r="C20" s="28">
        <f>SUM(C13*75/100)</f>
        <v>799.05</v>
      </c>
      <c r="D20" s="28">
        <f>SUM(D13*75/100)</f>
        <v>799.05</v>
      </c>
      <c r="E20" s="28">
        <f>SUM(E13*75/100)</f>
        <v>799.05</v>
      </c>
      <c r="F20" s="28">
        <f>SUM(F13*75/100)-2.22</f>
        <v>950.28</v>
      </c>
      <c r="G20" s="28">
        <f>SUM(G13*75/100)</f>
        <v>1050</v>
      </c>
      <c r="H20" s="28">
        <f>SUM(H13*75/100)</f>
        <v>1151.25</v>
      </c>
      <c r="I20" s="28">
        <f>SUM(I13*75/100)</f>
        <v>1252.5</v>
      </c>
      <c r="J20" s="28">
        <f>SUM(J13*75/100)-2.22</f>
        <v>950.28</v>
      </c>
      <c r="K20" s="3">
        <f t="shared" si="0"/>
        <v>0</v>
      </c>
    </row>
    <row r="21" spans="1:11" ht="45">
      <c r="A21" s="22" t="s">
        <v>5</v>
      </c>
      <c r="C21" s="28">
        <f aca="true" t="shared" si="1" ref="C21:J21">SUM(C13*95/100)</f>
        <v>1012.1300000000001</v>
      </c>
      <c r="D21" s="28">
        <f t="shared" si="1"/>
        <v>1012.1300000000001</v>
      </c>
      <c r="E21" s="28">
        <f t="shared" si="1"/>
        <v>1012.1300000000001</v>
      </c>
      <c r="F21" s="28">
        <f t="shared" si="1"/>
        <v>1206.5</v>
      </c>
      <c r="G21" s="28">
        <f t="shared" si="1"/>
        <v>1330</v>
      </c>
      <c r="H21" s="28">
        <f t="shared" si="1"/>
        <v>1458.25</v>
      </c>
      <c r="I21" s="28">
        <f t="shared" si="1"/>
        <v>1586.5</v>
      </c>
      <c r="J21" s="28">
        <f t="shared" si="1"/>
        <v>1206.5</v>
      </c>
      <c r="K21" s="3">
        <f t="shared" si="0"/>
        <v>0</v>
      </c>
    </row>
    <row r="22" spans="1:11" ht="30">
      <c r="A22" s="31" t="s">
        <v>6</v>
      </c>
      <c r="C22" s="3">
        <v>6810</v>
      </c>
      <c r="F22" s="3">
        <v>0</v>
      </c>
      <c r="G22" s="3">
        <v>0</v>
      </c>
      <c r="H22" s="3">
        <v>0</v>
      </c>
      <c r="I22" s="3">
        <v>0</v>
      </c>
      <c r="K22" s="3">
        <f t="shared" si="0"/>
        <v>0</v>
      </c>
    </row>
    <row r="23" spans="1:11" ht="30">
      <c r="A23" s="31" t="s">
        <v>7</v>
      </c>
      <c r="C23" s="3">
        <v>3600</v>
      </c>
      <c r="F23" s="3">
        <v>0</v>
      </c>
      <c r="G23" s="3">
        <v>0</v>
      </c>
      <c r="H23" s="3">
        <v>0</v>
      </c>
      <c r="I23" s="3">
        <v>0</v>
      </c>
      <c r="K23" s="3">
        <f t="shared" si="0"/>
        <v>0</v>
      </c>
    </row>
    <row r="24" spans="1:11" ht="30">
      <c r="A24" s="31" t="s">
        <v>8</v>
      </c>
      <c r="C24" s="3">
        <v>60000</v>
      </c>
      <c r="F24" s="3">
        <v>0</v>
      </c>
      <c r="G24" s="3">
        <v>0</v>
      </c>
      <c r="H24" s="3">
        <v>0</v>
      </c>
      <c r="I24" s="3">
        <v>0</v>
      </c>
      <c r="K24" s="3">
        <f t="shared" si="0"/>
        <v>0</v>
      </c>
    </row>
    <row r="25" spans="1:11" ht="15">
      <c r="A25" s="32" t="s">
        <v>9</v>
      </c>
      <c r="C25" s="33">
        <v>9.1076</v>
      </c>
      <c r="D25" s="33">
        <v>9.1076</v>
      </c>
      <c r="E25" s="33">
        <v>9.1076</v>
      </c>
      <c r="F25" s="3">
        <v>9</v>
      </c>
      <c r="G25" s="17">
        <v>8.5</v>
      </c>
      <c r="H25" s="18">
        <v>8.4</v>
      </c>
      <c r="I25" s="18">
        <v>8.3</v>
      </c>
      <c r="J25" s="3">
        <v>9</v>
      </c>
      <c r="K25" s="3">
        <f t="shared" si="0"/>
        <v>0</v>
      </c>
    </row>
    <row r="26" spans="1:11" ht="15">
      <c r="A26" s="32" t="s">
        <v>10</v>
      </c>
      <c r="C26" s="2">
        <v>189</v>
      </c>
      <c r="F26" s="17">
        <v>199</v>
      </c>
      <c r="G26" s="17">
        <v>197.5</v>
      </c>
      <c r="H26" s="18">
        <v>197</v>
      </c>
      <c r="I26" s="18">
        <v>195.9</v>
      </c>
      <c r="J26" s="17">
        <v>199</v>
      </c>
      <c r="K26" s="3">
        <f t="shared" si="0"/>
        <v>0</v>
      </c>
    </row>
    <row r="27" spans="1:11" ht="30">
      <c r="A27" s="31" t="s">
        <v>11</v>
      </c>
      <c r="C27" s="3">
        <v>800</v>
      </c>
      <c r="D27" s="3">
        <v>800</v>
      </c>
      <c r="E27" s="3">
        <v>800</v>
      </c>
      <c r="F27" s="3">
        <v>748</v>
      </c>
      <c r="G27" s="3">
        <v>800</v>
      </c>
      <c r="H27" s="3">
        <v>800</v>
      </c>
      <c r="I27" s="3">
        <v>795</v>
      </c>
      <c r="J27" s="3">
        <v>748</v>
      </c>
      <c r="K27" s="3">
        <f t="shared" si="0"/>
        <v>0</v>
      </c>
    </row>
    <row r="28" spans="1:11" ht="30">
      <c r="A28" s="31" t="s">
        <v>12</v>
      </c>
      <c r="C28" s="3">
        <v>2000</v>
      </c>
      <c r="D28" s="3">
        <v>2000</v>
      </c>
      <c r="E28" s="3">
        <v>2000</v>
      </c>
      <c r="F28" s="3">
        <v>455</v>
      </c>
      <c r="G28" s="3">
        <v>460</v>
      </c>
      <c r="H28" s="3">
        <v>400</v>
      </c>
      <c r="I28" s="3">
        <v>350</v>
      </c>
      <c r="J28" s="3">
        <v>455</v>
      </c>
      <c r="K28" s="3">
        <f t="shared" si="0"/>
        <v>0</v>
      </c>
    </row>
    <row r="29" spans="1:11" ht="30">
      <c r="A29" s="31" t="s">
        <v>13</v>
      </c>
      <c r="C29" s="3">
        <v>2000</v>
      </c>
      <c r="D29" s="3">
        <v>2000</v>
      </c>
      <c r="E29" s="3">
        <v>2000</v>
      </c>
      <c r="F29" s="3">
        <v>455</v>
      </c>
      <c r="G29" s="3">
        <v>460</v>
      </c>
      <c r="H29" s="3">
        <v>400</v>
      </c>
      <c r="I29" s="3">
        <v>350</v>
      </c>
      <c r="J29" s="3">
        <v>455</v>
      </c>
      <c r="K29" s="3">
        <f t="shared" si="0"/>
        <v>0</v>
      </c>
    </row>
    <row r="30" spans="1:11" ht="30">
      <c r="A30" s="31" t="s">
        <v>14</v>
      </c>
      <c r="C30" s="3">
        <v>500</v>
      </c>
      <c r="D30" s="3">
        <v>500</v>
      </c>
      <c r="E30" s="3">
        <v>500</v>
      </c>
      <c r="F30" s="3">
        <v>480</v>
      </c>
      <c r="G30" s="3">
        <v>480</v>
      </c>
      <c r="H30" s="3">
        <v>470</v>
      </c>
      <c r="I30" s="3">
        <v>471</v>
      </c>
      <c r="J30" s="3">
        <v>480</v>
      </c>
      <c r="K30" s="3">
        <f t="shared" si="0"/>
        <v>0</v>
      </c>
    </row>
    <row r="31" spans="1:11" ht="30">
      <c r="A31" s="30" t="s">
        <v>15</v>
      </c>
      <c r="C31" s="3">
        <v>2200</v>
      </c>
      <c r="D31" s="3">
        <v>2200</v>
      </c>
      <c r="E31" s="3">
        <v>2200</v>
      </c>
      <c r="F31" s="3">
        <v>2075</v>
      </c>
      <c r="G31" s="3">
        <v>1870</v>
      </c>
      <c r="H31" s="3">
        <v>1870</v>
      </c>
      <c r="I31" s="3">
        <v>1870</v>
      </c>
      <c r="J31" s="3">
        <v>2075</v>
      </c>
      <c r="K31" s="3">
        <f t="shared" si="0"/>
        <v>0</v>
      </c>
    </row>
    <row r="32" spans="1:11" ht="30">
      <c r="A32" s="30" t="s">
        <v>16</v>
      </c>
      <c r="C32" s="28">
        <v>1.91829</v>
      </c>
      <c r="D32" s="28">
        <v>1.91829</v>
      </c>
      <c r="E32" s="28">
        <v>1.91829</v>
      </c>
      <c r="F32" s="28">
        <v>1.61</v>
      </c>
      <c r="G32" s="28">
        <v>1.78</v>
      </c>
      <c r="H32" s="29">
        <v>1.78</v>
      </c>
      <c r="I32" s="29">
        <v>1.78</v>
      </c>
      <c r="J32" s="28">
        <v>1.61</v>
      </c>
      <c r="K32" s="3">
        <f t="shared" si="0"/>
        <v>0</v>
      </c>
    </row>
    <row r="33" spans="1:11" ht="30">
      <c r="A33" s="30" t="s">
        <v>17</v>
      </c>
      <c r="C33" s="28"/>
      <c r="D33" s="28"/>
      <c r="E33" s="28"/>
      <c r="F33" s="2">
        <v>2500</v>
      </c>
      <c r="G33" s="2">
        <v>5500</v>
      </c>
      <c r="H33" s="3">
        <v>5500</v>
      </c>
      <c r="I33" s="3">
        <v>5500</v>
      </c>
      <c r="J33" s="2">
        <v>2500</v>
      </c>
      <c r="K33" s="3">
        <f t="shared" si="0"/>
        <v>0</v>
      </c>
    </row>
    <row r="34" spans="1:11" ht="15">
      <c r="A34" s="30" t="s">
        <v>18</v>
      </c>
      <c r="C34" s="28"/>
      <c r="D34" s="28"/>
      <c r="E34" s="28"/>
      <c r="F34" s="2">
        <v>729</v>
      </c>
      <c r="G34" s="2">
        <v>755</v>
      </c>
      <c r="H34" s="3">
        <v>778</v>
      </c>
      <c r="I34" s="3">
        <v>799</v>
      </c>
      <c r="J34" s="2">
        <v>729</v>
      </c>
      <c r="K34" s="3">
        <f t="shared" si="0"/>
        <v>0</v>
      </c>
    </row>
    <row r="35" spans="1:11" ht="30">
      <c r="A35" s="30" t="s">
        <v>19</v>
      </c>
      <c r="C35" s="28"/>
      <c r="D35" s="28"/>
      <c r="E35" s="28"/>
      <c r="F35" s="2">
        <v>2500</v>
      </c>
      <c r="G35" s="2">
        <v>3500</v>
      </c>
      <c r="H35" s="3">
        <v>3500</v>
      </c>
      <c r="I35" s="3">
        <v>3500</v>
      </c>
      <c r="J35" s="2">
        <v>2500</v>
      </c>
      <c r="K35" s="3">
        <f t="shared" si="0"/>
        <v>0</v>
      </c>
    </row>
    <row r="36" spans="1:11" ht="15">
      <c r="A36" s="30" t="s">
        <v>20</v>
      </c>
      <c r="C36" s="28"/>
      <c r="D36" s="28"/>
      <c r="E36" s="28"/>
      <c r="F36" s="2">
        <v>479</v>
      </c>
      <c r="G36" s="2">
        <v>495</v>
      </c>
      <c r="H36" s="3">
        <v>510</v>
      </c>
      <c r="I36" s="3">
        <v>525</v>
      </c>
      <c r="J36" s="2">
        <v>479</v>
      </c>
      <c r="K36" s="3">
        <f t="shared" si="0"/>
        <v>0</v>
      </c>
    </row>
    <row r="37" spans="1:11" ht="15">
      <c r="A37" s="32" t="s">
        <v>21</v>
      </c>
      <c r="C37" s="17">
        <v>9.5</v>
      </c>
      <c r="F37" s="17">
        <v>9.5</v>
      </c>
      <c r="G37" s="17">
        <v>8.5</v>
      </c>
      <c r="H37" s="18">
        <v>8.5</v>
      </c>
      <c r="I37" s="18">
        <v>8.5</v>
      </c>
      <c r="J37" s="17">
        <v>9.5</v>
      </c>
      <c r="K37" s="3">
        <f t="shared" si="0"/>
        <v>0</v>
      </c>
    </row>
    <row r="38" spans="1:11" ht="30">
      <c r="A38" s="31" t="s">
        <v>22</v>
      </c>
      <c r="C38" s="28">
        <v>19.75</v>
      </c>
      <c r="F38" s="17">
        <v>19.5</v>
      </c>
      <c r="G38" s="17">
        <v>18.75</v>
      </c>
      <c r="H38" s="18">
        <v>16.75</v>
      </c>
      <c r="I38" s="18">
        <v>16.75</v>
      </c>
      <c r="J38" s="17">
        <v>19.5</v>
      </c>
      <c r="K38" s="3">
        <f t="shared" si="0"/>
        <v>0</v>
      </c>
    </row>
    <row r="39" spans="1:11" ht="15">
      <c r="A39" s="32" t="s">
        <v>23</v>
      </c>
      <c r="C39" s="3">
        <v>1</v>
      </c>
      <c r="F39" s="2">
        <v>1</v>
      </c>
      <c r="G39" s="3">
        <v>1</v>
      </c>
      <c r="H39" s="3">
        <v>1</v>
      </c>
      <c r="I39" s="3">
        <v>1</v>
      </c>
      <c r="J39" s="2">
        <v>1</v>
      </c>
      <c r="K39" s="3">
        <f t="shared" si="0"/>
        <v>0</v>
      </c>
    </row>
    <row r="40" spans="1:11" ht="15">
      <c r="A40" s="32" t="s">
        <v>24</v>
      </c>
      <c r="C40" s="17">
        <v>2.5</v>
      </c>
      <c r="F40" s="2">
        <v>2</v>
      </c>
      <c r="G40" s="2">
        <v>2.5</v>
      </c>
      <c r="H40" s="2">
        <v>2.5</v>
      </c>
      <c r="I40" s="2">
        <v>2.5</v>
      </c>
      <c r="J40" s="2">
        <v>2</v>
      </c>
      <c r="K40" s="3">
        <f t="shared" si="0"/>
        <v>0</v>
      </c>
    </row>
    <row r="41" spans="1:11" ht="15">
      <c r="A41" s="32" t="s">
        <v>25</v>
      </c>
      <c r="C41" s="17">
        <v>6.5</v>
      </c>
      <c r="F41" s="2">
        <v>6</v>
      </c>
      <c r="G41" s="2">
        <v>5.5</v>
      </c>
      <c r="H41" s="3">
        <v>4.5</v>
      </c>
      <c r="I41" s="3">
        <v>4.5</v>
      </c>
      <c r="J41" s="2">
        <v>6</v>
      </c>
      <c r="K41" s="3">
        <f t="shared" si="0"/>
        <v>0</v>
      </c>
    </row>
    <row r="42" spans="1:11" ht="15">
      <c r="A42" s="32" t="s">
        <v>26</v>
      </c>
      <c r="C42" s="17"/>
      <c r="F42" s="2">
        <v>6</v>
      </c>
      <c r="G42" s="2">
        <v>6</v>
      </c>
      <c r="H42" s="3">
        <v>6</v>
      </c>
      <c r="I42" s="3">
        <v>6</v>
      </c>
      <c r="J42" s="2">
        <v>6</v>
      </c>
      <c r="K42" s="3">
        <f t="shared" si="0"/>
        <v>0</v>
      </c>
    </row>
    <row r="43" spans="1:11" ht="30">
      <c r="A43" s="31" t="s">
        <v>27</v>
      </c>
      <c r="C43" s="28">
        <v>1.24</v>
      </c>
      <c r="F43" s="17">
        <v>0.4</v>
      </c>
      <c r="G43" s="17">
        <v>0.5</v>
      </c>
      <c r="H43" s="17">
        <v>0.5</v>
      </c>
      <c r="I43" s="17">
        <v>0.5</v>
      </c>
      <c r="J43" s="17">
        <v>0.4</v>
      </c>
      <c r="K43" s="3">
        <f t="shared" si="0"/>
        <v>0</v>
      </c>
    </row>
    <row r="44" spans="1:11" ht="15">
      <c r="A44" s="13" t="s">
        <v>28</v>
      </c>
      <c r="C44" s="3">
        <v>0</v>
      </c>
      <c r="F44" s="2">
        <v>0</v>
      </c>
      <c r="G44" s="28">
        <v>0.75</v>
      </c>
      <c r="H44" s="28">
        <v>0.75</v>
      </c>
      <c r="I44" s="28">
        <v>0.75</v>
      </c>
      <c r="J44" s="28">
        <v>0.85</v>
      </c>
      <c r="K44" s="34">
        <f t="shared" si="0"/>
        <v>0.85</v>
      </c>
    </row>
    <row r="48" ht="15">
      <c r="A48" s="2"/>
    </row>
    <row r="49" ht="18">
      <c r="A49" s="35" t="s">
        <v>29</v>
      </c>
    </row>
    <row r="50" ht="18">
      <c r="A50" s="36" t="s">
        <v>30</v>
      </c>
    </row>
    <row r="51" ht="15.75">
      <c r="A51" s="37" t="s">
        <v>31</v>
      </c>
    </row>
    <row r="52" ht="15.75">
      <c r="A52" s="37"/>
    </row>
    <row r="53" spans="9:11" ht="15">
      <c r="I53" s="3" t="s">
        <v>293</v>
      </c>
      <c r="K53" s="3" t="s">
        <v>294</v>
      </c>
    </row>
    <row r="54" spans="1:12" ht="18">
      <c r="A54" s="38"/>
      <c r="B54" s="39" t="s">
        <v>281</v>
      </c>
      <c r="C54" s="40" t="s">
        <v>282</v>
      </c>
      <c r="D54" s="40" t="s">
        <v>282</v>
      </c>
      <c r="E54" s="40" t="s">
        <v>282</v>
      </c>
      <c r="F54" s="39" t="s">
        <v>282</v>
      </c>
      <c r="G54" s="40" t="s">
        <v>292</v>
      </c>
      <c r="H54" s="40" t="s">
        <v>292</v>
      </c>
      <c r="I54" s="40" t="s">
        <v>292</v>
      </c>
      <c r="J54" s="39" t="s">
        <v>291</v>
      </c>
      <c r="K54" s="39"/>
      <c r="L54" s="41"/>
    </row>
    <row r="55" spans="1:12" ht="18">
      <c r="A55" s="42" t="s">
        <v>32</v>
      </c>
      <c r="B55" s="43">
        <v>2005</v>
      </c>
      <c r="C55" s="44">
        <v>2006</v>
      </c>
      <c r="D55" s="44">
        <v>2006</v>
      </c>
      <c r="E55" s="44">
        <v>2006</v>
      </c>
      <c r="F55" s="44">
        <v>2007</v>
      </c>
      <c r="G55" s="45">
        <v>2008</v>
      </c>
      <c r="H55" s="45">
        <v>2009</v>
      </c>
      <c r="I55" s="42">
        <v>2010</v>
      </c>
      <c r="J55" s="44">
        <v>2007</v>
      </c>
      <c r="K55" s="44" t="s">
        <v>297</v>
      </c>
      <c r="L55" s="41"/>
    </row>
    <row r="56" spans="1:12" ht="18">
      <c r="A56" s="46"/>
      <c r="B56" s="47"/>
      <c r="C56" s="48" t="s">
        <v>283</v>
      </c>
      <c r="D56" s="48" t="s">
        <v>286</v>
      </c>
      <c r="E56" s="48" t="s">
        <v>288</v>
      </c>
      <c r="F56" s="49" t="s">
        <v>290</v>
      </c>
      <c r="G56" s="49"/>
      <c r="H56" s="49"/>
      <c r="I56" s="50"/>
      <c r="J56" s="49" t="s">
        <v>296</v>
      </c>
      <c r="K56" s="49"/>
      <c r="L56" s="41"/>
    </row>
    <row r="57" spans="1:12" ht="15">
      <c r="A57" s="51"/>
      <c r="B57" s="10">
        <v>1</v>
      </c>
      <c r="C57" s="10">
        <v>2</v>
      </c>
      <c r="D57" s="52">
        <v>3</v>
      </c>
      <c r="E57" s="52">
        <v>4</v>
      </c>
      <c r="F57" s="10">
        <v>1</v>
      </c>
      <c r="G57" s="52">
        <v>6</v>
      </c>
      <c r="H57" s="52">
        <v>7</v>
      </c>
      <c r="I57" s="52">
        <v>8</v>
      </c>
      <c r="J57" s="10">
        <v>2</v>
      </c>
      <c r="K57" s="10" t="s">
        <v>298</v>
      </c>
      <c r="L57" s="41"/>
    </row>
    <row r="58" spans="1:11" ht="18">
      <c r="A58" s="15"/>
      <c r="B58" s="53"/>
      <c r="C58" s="54"/>
      <c r="D58" s="54"/>
      <c r="E58" s="54"/>
      <c r="F58" s="54"/>
      <c r="G58" s="54"/>
      <c r="H58" s="54"/>
      <c r="I58" s="54"/>
      <c r="J58" s="14"/>
      <c r="K58" s="14"/>
    </row>
    <row r="59" spans="1:9" ht="18">
      <c r="A59" s="55"/>
      <c r="B59" s="56"/>
      <c r="C59" s="56"/>
      <c r="D59" s="56"/>
      <c r="E59" s="56"/>
      <c r="F59" s="57"/>
      <c r="G59" s="56"/>
      <c r="H59" s="56"/>
      <c r="I59" s="56"/>
    </row>
    <row r="60" spans="1:11" ht="18">
      <c r="A60" s="58" t="s">
        <v>33</v>
      </c>
      <c r="B60" s="59">
        <f aca="true" t="shared" si="2" ref="B60:J60">SUM(B63+B222)</f>
        <v>17744859.420999996</v>
      </c>
      <c r="C60" s="59">
        <f t="shared" si="2"/>
        <v>19180589.853992</v>
      </c>
      <c r="D60" s="59">
        <f t="shared" si="2"/>
        <v>18595880.843992002</v>
      </c>
      <c r="E60" s="59">
        <f t="shared" si="2"/>
        <v>18595881.51</v>
      </c>
      <c r="F60" s="60">
        <f t="shared" si="2"/>
        <v>22438103.76</v>
      </c>
      <c r="G60" s="59">
        <f t="shared" si="2"/>
        <v>27546011.084000003</v>
      </c>
      <c r="H60" s="59">
        <f t="shared" si="2"/>
        <v>28425929.663120005</v>
      </c>
      <c r="I60" s="59">
        <f t="shared" si="2"/>
        <v>31113220.431345843</v>
      </c>
      <c r="J60" s="60">
        <f t="shared" si="2"/>
        <v>22459655.09511</v>
      </c>
      <c r="K60" s="2">
        <f>J60-F60</f>
        <v>21551.33510999754</v>
      </c>
    </row>
    <row r="61" spans="1:10" ht="18">
      <c r="A61" s="32" t="s">
        <v>34</v>
      </c>
      <c r="B61" s="57"/>
      <c r="C61" s="56"/>
      <c r="D61" s="56"/>
      <c r="E61" s="56"/>
      <c r="F61" s="57"/>
      <c r="G61" s="56"/>
      <c r="H61" s="56"/>
      <c r="I61" s="56"/>
      <c r="J61" s="57"/>
    </row>
    <row r="62" spans="1:10" ht="18">
      <c r="A62" s="61"/>
      <c r="B62" s="56"/>
      <c r="C62" s="56"/>
      <c r="D62" s="56"/>
      <c r="E62" s="56"/>
      <c r="F62" s="56"/>
      <c r="G62" s="56"/>
      <c r="H62" s="56"/>
      <c r="I62" s="56"/>
      <c r="J62" s="56"/>
    </row>
    <row r="63" spans="1:11" ht="31.5">
      <c r="A63" s="62" t="s">
        <v>35</v>
      </c>
      <c r="B63" s="63">
        <f aca="true" t="shared" si="3" ref="B63:J63">SUM(B65+B76+B84+B92+B100+B104+B109+B111+B115)</f>
        <v>17734728.089999996</v>
      </c>
      <c r="C63" s="63">
        <f t="shared" si="3"/>
        <v>19077068.04</v>
      </c>
      <c r="D63" s="63">
        <f t="shared" si="3"/>
        <v>18491609.03</v>
      </c>
      <c r="E63" s="63">
        <f t="shared" si="3"/>
        <v>18565109.214</v>
      </c>
      <c r="F63" s="63">
        <f t="shared" si="3"/>
        <v>22332737.12</v>
      </c>
      <c r="G63" s="63">
        <f t="shared" si="3"/>
        <v>27425572.252000004</v>
      </c>
      <c r="H63" s="63">
        <f t="shared" si="3"/>
        <v>28298331.571160004</v>
      </c>
      <c r="I63" s="63">
        <f t="shared" si="3"/>
        <v>30977518.22390092</v>
      </c>
      <c r="J63" s="63">
        <f t="shared" si="3"/>
        <v>22353977.12</v>
      </c>
      <c r="K63" s="2">
        <f>J63-F63</f>
        <v>21240</v>
      </c>
    </row>
    <row r="64" spans="1:10" ht="18">
      <c r="A64" s="64"/>
      <c r="B64" s="57"/>
      <c r="C64" s="56"/>
      <c r="D64" s="56"/>
      <c r="E64" s="56"/>
      <c r="F64" s="56"/>
      <c r="G64" s="56"/>
      <c r="H64" s="56"/>
      <c r="I64" s="56"/>
      <c r="J64" s="56"/>
    </row>
    <row r="65" spans="1:11" ht="18">
      <c r="A65" s="65" t="s">
        <v>36</v>
      </c>
      <c r="B65" s="66">
        <v>14898970.798</v>
      </c>
      <c r="C65" s="67">
        <f aca="true" t="shared" si="4" ref="C65:J65">SUM(C67+C71)</f>
        <v>17061015.6</v>
      </c>
      <c r="D65" s="59">
        <f t="shared" si="4"/>
        <v>17311015.6</v>
      </c>
      <c r="E65" s="59">
        <f t="shared" si="4"/>
        <v>17493763.784</v>
      </c>
      <c r="F65" s="67">
        <f t="shared" si="4"/>
        <v>21228600.200000003</v>
      </c>
      <c r="G65" s="67">
        <f t="shared" si="4"/>
        <v>26179722.200000003</v>
      </c>
      <c r="H65" s="67">
        <f t="shared" si="4"/>
        <v>26999509.200000003</v>
      </c>
      <c r="I65" s="67">
        <f t="shared" si="4"/>
        <v>29626907.4</v>
      </c>
      <c r="J65" s="67">
        <f t="shared" si="4"/>
        <v>21249840.200000003</v>
      </c>
      <c r="K65" s="2">
        <f>J65-F65</f>
        <v>21240</v>
      </c>
    </row>
    <row r="66" spans="1:10" ht="18">
      <c r="A66" s="68"/>
      <c r="B66" s="56"/>
      <c r="C66" s="57"/>
      <c r="D66" s="57"/>
      <c r="E66" s="57"/>
      <c r="F66" s="57"/>
      <c r="G66" s="57"/>
      <c r="H66" s="57"/>
      <c r="I66" s="57"/>
      <c r="J66" s="57"/>
    </row>
    <row r="67" spans="1:11" ht="18">
      <c r="A67" s="32" t="s">
        <v>37</v>
      </c>
      <c r="B67" s="56"/>
      <c r="C67" s="57">
        <f>SUM(C68*C69*12)</f>
        <v>16918020</v>
      </c>
      <c r="D67" s="57">
        <v>17168020</v>
      </c>
      <c r="E67" s="57">
        <f>SUM(E68*E69*12)-196</f>
        <v>17348149.784</v>
      </c>
      <c r="F67" s="69">
        <f>SUM(F68*F69*12)-2239</f>
        <v>21083700.200000003</v>
      </c>
      <c r="G67" s="70">
        <f>SUM(G68*G69*12)-3565</f>
        <v>26026422.200000003</v>
      </c>
      <c r="H67" s="70">
        <f>SUM(H68*H69*12)-570</f>
        <v>26846329.200000003</v>
      </c>
      <c r="I67" s="70">
        <f>SUM(I68*I69*12)+423</f>
        <v>29471867.4</v>
      </c>
      <c r="J67" s="69">
        <f>SUM(J68*J69*12)-2239</f>
        <v>21083700.200000003</v>
      </c>
      <c r="K67" s="2">
        <f aca="true" t="shared" si="5" ref="K67:K98">J67-F67</f>
        <v>0</v>
      </c>
    </row>
    <row r="68" spans="1:11" ht="30.75">
      <c r="A68" s="31" t="s">
        <v>38</v>
      </c>
      <c r="B68" s="56"/>
      <c r="C68" s="57">
        <f>C10</f>
        <v>4630</v>
      </c>
      <c r="D68" s="57">
        <v>4630</v>
      </c>
      <c r="E68" s="71">
        <v>4632.6</v>
      </c>
      <c r="F68" s="71">
        <f aca="true" t="shared" si="6" ref="F68:J69">F10</f>
        <v>4653.5</v>
      </c>
      <c r="G68" s="57">
        <f t="shared" si="6"/>
        <v>4683</v>
      </c>
      <c r="H68" s="57">
        <f t="shared" si="6"/>
        <v>4708</v>
      </c>
      <c r="I68" s="57">
        <f t="shared" si="6"/>
        <v>4733</v>
      </c>
      <c r="J68" s="71">
        <f t="shared" si="6"/>
        <v>4653.5</v>
      </c>
      <c r="K68" s="2">
        <f t="shared" si="5"/>
        <v>0</v>
      </c>
    </row>
    <row r="69" spans="1:11" ht="18">
      <c r="A69" s="32" t="s">
        <v>39</v>
      </c>
      <c r="B69" s="56"/>
      <c r="C69" s="71">
        <f>C11</f>
        <v>304.5</v>
      </c>
      <c r="D69" s="71">
        <f>D67/12/D68</f>
        <v>308.99964002879767</v>
      </c>
      <c r="E69" s="72">
        <v>312.07</v>
      </c>
      <c r="F69" s="71">
        <f t="shared" si="6"/>
        <v>377.6</v>
      </c>
      <c r="G69" s="71">
        <f t="shared" si="6"/>
        <v>463.2</v>
      </c>
      <c r="H69" s="71">
        <f t="shared" si="6"/>
        <v>475.2</v>
      </c>
      <c r="I69" s="71">
        <f t="shared" si="6"/>
        <v>518.9</v>
      </c>
      <c r="J69" s="71">
        <f t="shared" si="6"/>
        <v>377.6</v>
      </c>
      <c r="K69" s="2">
        <f t="shared" si="5"/>
        <v>0</v>
      </c>
    </row>
    <row r="70" spans="1:11" ht="18">
      <c r="A70" s="32"/>
      <c r="B70" s="57"/>
      <c r="C70" s="56"/>
      <c r="D70" s="56"/>
      <c r="E70" s="56"/>
      <c r="F70" s="56"/>
      <c r="G70" s="56"/>
      <c r="H70" s="56"/>
      <c r="I70" s="56"/>
      <c r="J70" s="56"/>
      <c r="K70" s="2">
        <f t="shared" si="5"/>
        <v>0</v>
      </c>
    </row>
    <row r="71" spans="1:11" ht="18">
      <c r="A71" s="68" t="s">
        <v>40</v>
      </c>
      <c r="B71" s="56"/>
      <c r="C71" s="56">
        <f>SUM(C72*C73*12/1000)</f>
        <v>142995.6</v>
      </c>
      <c r="D71" s="56">
        <f>SUM(D72*D73*12/1000)</f>
        <v>142995.6</v>
      </c>
      <c r="E71" s="56">
        <v>145614</v>
      </c>
      <c r="F71" s="73">
        <f>SUM(F72*F73*12/1000)-4200</f>
        <v>144900</v>
      </c>
      <c r="G71" s="74">
        <f>SUM(G72*G73*12/1000)+156</f>
        <v>153300</v>
      </c>
      <c r="H71" s="56">
        <f>SUM(H72*H73*12/1000)</f>
        <v>153180</v>
      </c>
      <c r="I71" s="56">
        <f>SUM(I72*I73*12/1000)</f>
        <v>155040</v>
      </c>
      <c r="J71" s="73">
        <f>SUM(J72*J73*12/1000)</f>
        <v>166140</v>
      </c>
      <c r="K71" s="2">
        <f t="shared" si="5"/>
        <v>21240</v>
      </c>
    </row>
    <row r="72" spans="1:11" ht="18">
      <c r="A72" s="32" t="s">
        <v>41</v>
      </c>
      <c r="B72" s="56"/>
      <c r="C72" s="57">
        <f>C12</f>
        <v>36110</v>
      </c>
      <c r="D72" s="57">
        <f>D12</f>
        <v>36110</v>
      </c>
      <c r="E72" s="57">
        <f>SUM(E71/E73/12*1000)</f>
        <v>36771.21212121212</v>
      </c>
      <c r="F72" s="57">
        <f>F12</f>
        <v>35500</v>
      </c>
      <c r="G72" s="57">
        <f>G12</f>
        <v>35450</v>
      </c>
      <c r="H72" s="57">
        <f>H12</f>
        <v>34500</v>
      </c>
      <c r="I72" s="57">
        <f>I12</f>
        <v>34000</v>
      </c>
      <c r="J72" s="57">
        <f>J12</f>
        <v>35500</v>
      </c>
      <c r="K72" s="2">
        <f t="shared" si="5"/>
        <v>0</v>
      </c>
    </row>
    <row r="73" spans="1:11" ht="18">
      <c r="A73" s="32" t="s">
        <v>42</v>
      </c>
      <c r="B73" s="56"/>
      <c r="C73" s="56">
        <f aca="true" t="shared" si="7" ref="C73:J73">C14</f>
        <v>330</v>
      </c>
      <c r="D73" s="56">
        <f t="shared" si="7"/>
        <v>330</v>
      </c>
      <c r="E73" s="56">
        <f t="shared" si="7"/>
        <v>330</v>
      </c>
      <c r="F73" s="56">
        <f t="shared" si="7"/>
        <v>350</v>
      </c>
      <c r="G73" s="56">
        <f t="shared" si="7"/>
        <v>360</v>
      </c>
      <c r="H73" s="56">
        <f t="shared" si="7"/>
        <v>370</v>
      </c>
      <c r="I73" s="56">
        <f t="shared" si="7"/>
        <v>380</v>
      </c>
      <c r="J73" s="75">
        <f t="shared" si="7"/>
        <v>390</v>
      </c>
      <c r="K73" s="2">
        <f t="shared" si="5"/>
        <v>40</v>
      </c>
    </row>
    <row r="74" spans="1:11" ht="18">
      <c r="A74" s="32"/>
      <c r="B74" s="56"/>
      <c r="C74" s="56"/>
      <c r="D74" s="56"/>
      <c r="E74" s="56"/>
      <c r="F74" s="56"/>
      <c r="G74" s="56"/>
      <c r="H74" s="56"/>
      <c r="I74" s="56"/>
      <c r="J74" s="56"/>
      <c r="K74" s="2">
        <f t="shared" si="5"/>
        <v>0</v>
      </c>
    </row>
    <row r="75" spans="1:11" ht="18">
      <c r="A75" s="65"/>
      <c r="B75" s="56"/>
      <c r="C75" s="56"/>
      <c r="D75" s="56"/>
      <c r="E75" s="56"/>
      <c r="F75" s="56"/>
      <c r="G75" s="56"/>
      <c r="H75" s="56"/>
      <c r="I75" s="56"/>
      <c r="J75" s="57"/>
      <c r="K75" s="2">
        <f t="shared" si="5"/>
        <v>0</v>
      </c>
    </row>
    <row r="76" spans="1:11" ht="78.75">
      <c r="A76" s="76" t="s">
        <v>43</v>
      </c>
      <c r="B76" s="77">
        <v>329747.426</v>
      </c>
      <c r="C76" s="67">
        <f aca="true" t="shared" si="8" ref="C76:J76">C77+C80</f>
        <v>270026.2</v>
      </c>
      <c r="D76" s="59">
        <f t="shared" si="8"/>
        <v>20054</v>
      </c>
      <c r="E76" s="59">
        <f t="shared" si="8"/>
        <v>20054</v>
      </c>
      <c r="F76" s="59">
        <f t="shared" si="8"/>
        <v>0</v>
      </c>
      <c r="G76" s="67">
        <f t="shared" si="8"/>
        <v>0</v>
      </c>
      <c r="H76" s="67">
        <f t="shared" si="8"/>
        <v>0</v>
      </c>
      <c r="I76" s="67">
        <f t="shared" si="8"/>
        <v>0</v>
      </c>
      <c r="J76" s="59">
        <f t="shared" si="8"/>
        <v>0</v>
      </c>
      <c r="K76" s="2">
        <f t="shared" si="5"/>
        <v>0</v>
      </c>
    </row>
    <row r="77" spans="1:11" ht="45.75">
      <c r="A77" s="31" t="s">
        <v>44</v>
      </c>
      <c r="B77" s="56">
        <f>B76-B80</f>
        <v>254204.94899999996</v>
      </c>
      <c r="C77" s="73">
        <f>C78*C79+214</f>
        <v>256270</v>
      </c>
      <c r="D77" s="77">
        <v>18952</v>
      </c>
      <c r="E77" s="77">
        <v>18952</v>
      </c>
      <c r="F77" s="77">
        <v>0</v>
      </c>
      <c r="G77" s="73">
        <f>G78*G79</f>
        <v>0</v>
      </c>
      <c r="H77" s="73">
        <f>H78*H79</f>
        <v>0</v>
      </c>
      <c r="I77" s="73">
        <f>I78*I79</f>
        <v>0</v>
      </c>
      <c r="J77" s="77">
        <v>0</v>
      </c>
      <c r="K77" s="2">
        <f t="shared" si="5"/>
        <v>0</v>
      </c>
    </row>
    <row r="78" spans="1:11" ht="18">
      <c r="A78" s="32" t="s">
        <v>45</v>
      </c>
      <c r="B78" s="56"/>
      <c r="C78" s="57">
        <f aca="true" t="shared" si="9" ref="C78:J78">C22</f>
        <v>6810</v>
      </c>
      <c r="D78" s="57">
        <f t="shared" si="9"/>
        <v>0</v>
      </c>
      <c r="E78" s="57">
        <f t="shared" si="9"/>
        <v>0</v>
      </c>
      <c r="F78" s="57">
        <f t="shared" si="9"/>
        <v>0</v>
      </c>
      <c r="G78" s="57">
        <f t="shared" si="9"/>
        <v>0</v>
      </c>
      <c r="H78" s="57">
        <f t="shared" si="9"/>
        <v>0</v>
      </c>
      <c r="I78" s="57">
        <f t="shared" si="9"/>
        <v>0</v>
      </c>
      <c r="J78" s="57">
        <f t="shared" si="9"/>
        <v>0</v>
      </c>
      <c r="K78" s="2">
        <f t="shared" si="5"/>
        <v>0</v>
      </c>
    </row>
    <row r="79" spans="1:11" ht="18">
      <c r="A79" s="32" t="s">
        <v>46</v>
      </c>
      <c r="B79" s="56"/>
      <c r="C79" s="72">
        <f>ROUND(C13*75/21.25/100,2)</f>
        <v>37.6</v>
      </c>
      <c r="D79" s="72">
        <f>ROUND(D13*75/21.25/100,2)</f>
        <v>37.6</v>
      </c>
      <c r="E79" s="72">
        <f>ROUND(E13*75/21.25/100,2)</f>
        <v>37.6</v>
      </c>
      <c r="F79" s="57">
        <v>0</v>
      </c>
      <c r="G79" s="57">
        <v>0</v>
      </c>
      <c r="H79" s="57">
        <v>0</v>
      </c>
      <c r="I79" s="57">
        <v>0</v>
      </c>
      <c r="J79" s="57">
        <v>0</v>
      </c>
      <c r="K79" s="2">
        <f t="shared" si="5"/>
        <v>0</v>
      </c>
    </row>
    <row r="80" spans="1:11" ht="45.75">
      <c r="A80" s="22" t="s">
        <v>47</v>
      </c>
      <c r="B80" s="77">
        <v>75542.477</v>
      </c>
      <c r="C80" s="57">
        <f>C81*C82</f>
        <v>13756.2</v>
      </c>
      <c r="D80" s="57">
        <v>1102</v>
      </c>
      <c r="E80" s="57">
        <v>1102</v>
      </c>
      <c r="F80" s="57">
        <f>F81*F82</f>
        <v>0</v>
      </c>
      <c r="G80" s="57">
        <f>G81*G82</f>
        <v>0</v>
      </c>
      <c r="H80" s="57">
        <f>H81*H82</f>
        <v>0</v>
      </c>
      <c r="I80" s="57">
        <f>I81*I82</f>
        <v>0</v>
      </c>
      <c r="J80" s="57">
        <f>J81*J82</f>
        <v>0</v>
      </c>
      <c r="K80" s="2">
        <f t="shared" si="5"/>
        <v>0</v>
      </c>
    </row>
    <row r="81" spans="1:11" ht="18">
      <c r="A81" s="32" t="s">
        <v>48</v>
      </c>
      <c r="B81" s="56"/>
      <c r="C81" s="57">
        <f aca="true" t="shared" si="10" ref="C81:J81">C78</f>
        <v>6810</v>
      </c>
      <c r="D81" s="57">
        <f t="shared" si="10"/>
        <v>0</v>
      </c>
      <c r="E81" s="57">
        <f t="shared" si="10"/>
        <v>0</v>
      </c>
      <c r="F81" s="57">
        <f t="shared" si="10"/>
        <v>0</v>
      </c>
      <c r="G81" s="57">
        <f t="shared" si="10"/>
        <v>0</v>
      </c>
      <c r="H81" s="57">
        <f t="shared" si="10"/>
        <v>0</v>
      </c>
      <c r="I81" s="57">
        <f t="shared" si="10"/>
        <v>0</v>
      </c>
      <c r="J81" s="57">
        <f t="shared" si="10"/>
        <v>0</v>
      </c>
      <c r="K81" s="2">
        <f t="shared" si="5"/>
        <v>0</v>
      </c>
    </row>
    <row r="82" spans="1:11" ht="18">
      <c r="A82" s="32" t="s">
        <v>49</v>
      </c>
      <c r="B82" s="56"/>
      <c r="C82" s="72">
        <f>ROUND(C14*2*0.065/21.25,2)</f>
        <v>2.02</v>
      </c>
      <c r="D82" s="72">
        <f>ROUND(D14*2*0.065/21.25,2)</f>
        <v>2.02</v>
      </c>
      <c r="E82" s="72">
        <f>ROUND(E14*2*0.065/21.25,2)</f>
        <v>2.02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  <c r="K82" s="2">
        <f t="shared" si="5"/>
        <v>0</v>
      </c>
    </row>
    <row r="83" spans="1:11" ht="18">
      <c r="A83" s="25"/>
      <c r="B83" s="56"/>
      <c r="C83" s="56"/>
      <c r="D83" s="56"/>
      <c r="E83" s="56"/>
      <c r="F83" s="57"/>
      <c r="G83" s="56"/>
      <c r="H83" s="56"/>
      <c r="I83" s="56"/>
      <c r="J83" s="57"/>
      <c r="K83" s="2">
        <f t="shared" si="5"/>
        <v>0</v>
      </c>
    </row>
    <row r="84" spans="1:11" ht="47.25">
      <c r="A84" s="76" t="s">
        <v>50</v>
      </c>
      <c r="B84" s="77">
        <v>174586.929</v>
      </c>
      <c r="C84" s="67">
        <f aca="true" t="shared" si="11" ref="C84:J84">C85+C88</f>
        <v>160704</v>
      </c>
      <c r="D84" s="67">
        <f t="shared" si="11"/>
        <v>11934</v>
      </c>
      <c r="E84" s="67">
        <f t="shared" si="11"/>
        <v>11934</v>
      </c>
      <c r="F84" s="67">
        <f t="shared" si="11"/>
        <v>0</v>
      </c>
      <c r="G84" s="67">
        <f t="shared" si="11"/>
        <v>0</v>
      </c>
      <c r="H84" s="67">
        <f t="shared" si="11"/>
        <v>0</v>
      </c>
      <c r="I84" s="67">
        <f t="shared" si="11"/>
        <v>0</v>
      </c>
      <c r="J84" s="67">
        <f t="shared" si="11"/>
        <v>0</v>
      </c>
      <c r="K84" s="2">
        <f t="shared" si="5"/>
        <v>0</v>
      </c>
    </row>
    <row r="85" spans="1:11" ht="30.75">
      <c r="A85" s="31" t="s">
        <v>51</v>
      </c>
      <c r="B85" s="56">
        <f>B84-B88</f>
        <v>130545.929</v>
      </c>
      <c r="C85" s="56">
        <f>C86*C87</f>
        <v>153432</v>
      </c>
      <c r="D85" s="56">
        <v>11475</v>
      </c>
      <c r="E85" s="56">
        <v>11475</v>
      </c>
      <c r="F85" s="56">
        <f>F86*F87</f>
        <v>0</v>
      </c>
      <c r="G85" s="56">
        <f>G86*G87</f>
        <v>0</v>
      </c>
      <c r="H85" s="56">
        <f>H86*H87</f>
        <v>0</v>
      </c>
      <c r="I85" s="56">
        <f>I86*I87</f>
        <v>0</v>
      </c>
      <c r="J85" s="56">
        <f>J86*J87</f>
        <v>0</v>
      </c>
      <c r="K85" s="2">
        <f t="shared" si="5"/>
        <v>0</v>
      </c>
    </row>
    <row r="86" spans="1:11" ht="18">
      <c r="A86" s="32" t="s">
        <v>52</v>
      </c>
      <c r="B86" s="56"/>
      <c r="C86" s="57">
        <f aca="true" t="shared" si="12" ref="C86:J86">C23</f>
        <v>3600</v>
      </c>
      <c r="D86" s="57">
        <f t="shared" si="12"/>
        <v>0</v>
      </c>
      <c r="E86" s="57">
        <f t="shared" si="12"/>
        <v>0</v>
      </c>
      <c r="F86" s="57">
        <f t="shared" si="12"/>
        <v>0</v>
      </c>
      <c r="G86" s="57">
        <f t="shared" si="12"/>
        <v>0</v>
      </c>
      <c r="H86" s="57">
        <f t="shared" si="12"/>
        <v>0</v>
      </c>
      <c r="I86" s="57">
        <f t="shared" si="12"/>
        <v>0</v>
      </c>
      <c r="J86" s="57">
        <f t="shared" si="12"/>
        <v>0</v>
      </c>
      <c r="K86" s="2">
        <f t="shared" si="5"/>
        <v>0</v>
      </c>
    </row>
    <row r="87" spans="1:11" ht="18">
      <c r="A87" s="32" t="s">
        <v>53</v>
      </c>
      <c r="B87" s="56"/>
      <c r="C87" s="72">
        <f>ROUND(C13*85/21.25/100,2)</f>
        <v>42.62</v>
      </c>
      <c r="D87" s="72">
        <f>ROUND(D13*85/21.25/100,2)</f>
        <v>42.62</v>
      </c>
      <c r="E87" s="72">
        <f>ROUND(E13*85/21.25/100,2)</f>
        <v>42.62</v>
      </c>
      <c r="F87" s="57">
        <v>0</v>
      </c>
      <c r="G87" s="57">
        <v>0</v>
      </c>
      <c r="H87" s="57">
        <v>0</v>
      </c>
      <c r="I87" s="57">
        <v>0</v>
      </c>
      <c r="J87" s="57">
        <v>0</v>
      </c>
      <c r="K87" s="2">
        <f t="shared" si="5"/>
        <v>0</v>
      </c>
    </row>
    <row r="88" spans="1:11" ht="45.75">
      <c r="A88" s="23" t="s">
        <v>54</v>
      </c>
      <c r="B88" s="77">
        <v>44041</v>
      </c>
      <c r="C88" s="56">
        <f>C89*C90</f>
        <v>7272</v>
      </c>
      <c r="D88" s="56">
        <v>459</v>
      </c>
      <c r="E88" s="56">
        <v>459</v>
      </c>
      <c r="F88" s="56">
        <f>F89*F90</f>
        <v>0</v>
      </c>
      <c r="G88" s="56">
        <f>G89*G90</f>
        <v>0</v>
      </c>
      <c r="H88" s="56">
        <f>H89*H90</f>
        <v>0</v>
      </c>
      <c r="I88" s="56">
        <f>I89*I90</f>
        <v>0</v>
      </c>
      <c r="J88" s="56">
        <f>J89*J90</f>
        <v>0</v>
      </c>
      <c r="K88" s="2">
        <f t="shared" si="5"/>
        <v>0</v>
      </c>
    </row>
    <row r="89" spans="1:11" ht="18">
      <c r="A89" s="32" t="s">
        <v>48</v>
      </c>
      <c r="B89" s="56"/>
      <c r="C89" s="56">
        <f aca="true" t="shared" si="13" ref="C89:J89">C86</f>
        <v>3600</v>
      </c>
      <c r="D89" s="56">
        <f t="shared" si="13"/>
        <v>0</v>
      </c>
      <c r="E89" s="56">
        <f t="shared" si="13"/>
        <v>0</v>
      </c>
      <c r="F89" s="57">
        <f t="shared" si="13"/>
        <v>0</v>
      </c>
      <c r="G89" s="56">
        <f t="shared" si="13"/>
        <v>0</v>
      </c>
      <c r="H89" s="56">
        <f t="shared" si="13"/>
        <v>0</v>
      </c>
      <c r="I89" s="56">
        <f t="shared" si="13"/>
        <v>0</v>
      </c>
      <c r="J89" s="57">
        <f t="shared" si="13"/>
        <v>0</v>
      </c>
      <c r="K89" s="2">
        <f t="shared" si="5"/>
        <v>0</v>
      </c>
    </row>
    <row r="90" spans="1:11" ht="18">
      <c r="A90" s="32" t="s">
        <v>49</v>
      </c>
      <c r="B90" s="56"/>
      <c r="C90" s="72">
        <f>ROUND(C14*2*0.065/21.25,2)</f>
        <v>2.02</v>
      </c>
      <c r="D90" s="72">
        <f>ROUND(D14*2*0.065/21.25,2)</f>
        <v>2.02</v>
      </c>
      <c r="E90" s="72">
        <f>ROUND(E14*2*0.065/21.25,2)</f>
        <v>2.02</v>
      </c>
      <c r="F90" s="57">
        <v>0</v>
      </c>
      <c r="G90" s="57">
        <v>0</v>
      </c>
      <c r="H90" s="57">
        <v>0</v>
      </c>
      <c r="I90" s="57">
        <v>0</v>
      </c>
      <c r="J90" s="57">
        <v>0</v>
      </c>
      <c r="K90" s="2">
        <f t="shared" si="5"/>
        <v>0</v>
      </c>
    </row>
    <row r="91" spans="1:11" ht="18">
      <c r="A91" s="5"/>
      <c r="B91" s="56"/>
      <c r="C91" s="56"/>
      <c r="D91" s="56"/>
      <c r="E91" s="56"/>
      <c r="F91" s="56"/>
      <c r="G91" s="56"/>
      <c r="H91" s="56"/>
      <c r="I91" s="56"/>
      <c r="J91" s="56"/>
      <c r="K91" s="2">
        <f t="shared" si="5"/>
        <v>0</v>
      </c>
    </row>
    <row r="92" spans="1:11" ht="47.25">
      <c r="A92" s="76" t="s">
        <v>55</v>
      </c>
      <c r="B92" s="77">
        <v>1499522.011</v>
      </c>
      <c r="C92" s="67">
        <f aca="true" t="shared" si="14" ref="C92:J92">C93+C96</f>
        <v>699960.24</v>
      </c>
      <c r="D92" s="59">
        <f t="shared" si="14"/>
        <v>74638</v>
      </c>
      <c r="E92" s="59">
        <f t="shared" si="14"/>
        <v>74638</v>
      </c>
      <c r="F92" s="67">
        <f t="shared" si="14"/>
        <v>0</v>
      </c>
      <c r="G92" s="67">
        <f t="shared" si="14"/>
        <v>0</v>
      </c>
      <c r="H92" s="67">
        <f t="shared" si="14"/>
        <v>0</v>
      </c>
      <c r="I92" s="67">
        <f t="shared" si="14"/>
        <v>0</v>
      </c>
      <c r="J92" s="67">
        <f t="shared" si="14"/>
        <v>0</v>
      </c>
      <c r="K92" s="2">
        <f t="shared" si="5"/>
        <v>0</v>
      </c>
    </row>
    <row r="93" spans="1:11" ht="30.75">
      <c r="A93" s="31" t="s">
        <v>56</v>
      </c>
      <c r="B93" s="56">
        <f>B92-B96</f>
        <v>1493272.011</v>
      </c>
      <c r="C93" s="78">
        <f>ROUND(C94*C95*12/1000,2)-2</f>
        <v>658043.16</v>
      </c>
      <c r="D93" s="77">
        <v>70168</v>
      </c>
      <c r="E93" s="77">
        <v>70168</v>
      </c>
      <c r="F93" s="77">
        <f>ROUND(F94*F95*12/1000,2)</f>
        <v>0</v>
      </c>
      <c r="G93" s="77">
        <f>ROUND(G94*G95*12/1000,2)</f>
        <v>0</v>
      </c>
      <c r="H93" s="77">
        <f>ROUND(H94*H95*12/1000,2)</f>
        <v>0</v>
      </c>
      <c r="I93" s="77">
        <f>ROUND(I94*I95*12/1000,2)</f>
        <v>0</v>
      </c>
      <c r="J93" s="77">
        <f>ROUND(J94*J95*12/1000,2)</f>
        <v>0</v>
      </c>
      <c r="K93" s="2">
        <f t="shared" si="5"/>
        <v>0</v>
      </c>
    </row>
    <row r="94" spans="1:11" ht="18">
      <c r="A94" s="32" t="s">
        <v>57</v>
      </c>
      <c r="B94" s="56"/>
      <c r="C94" s="57">
        <v>60554</v>
      </c>
      <c r="D94" s="57">
        <v>60554</v>
      </c>
      <c r="E94" s="57">
        <v>60554</v>
      </c>
      <c r="F94" s="57">
        <v>0</v>
      </c>
      <c r="G94" s="57"/>
      <c r="H94" s="57"/>
      <c r="I94" s="57"/>
      <c r="J94" s="57">
        <v>0</v>
      </c>
      <c r="K94" s="2">
        <f t="shared" si="5"/>
        <v>0</v>
      </c>
    </row>
    <row r="95" spans="1:11" ht="18">
      <c r="A95" s="32" t="s">
        <v>58</v>
      </c>
      <c r="B95" s="56"/>
      <c r="C95" s="56">
        <f>ROUND(C13*85/100,2)</f>
        <v>905.59</v>
      </c>
      <c r="D95" s="56">
        <f>ROUND(D13*85/100,2)</f>
        <v>905.59</v>
      </c>
      <c r="E95" s="56">
        <f>ROUND(E13*85/100,2)</f>
        <v>905.59</v>
      </c>
      <c r="F95" s="56">
        <v>0</v>
      </c>
      <c r="G95" s="56">
        <v>0</v>
      </c>
      <c r="H95" s="56">
        <v>0</v>
      </c>
      <c r="I95" s="56">
        <v>0</v>
      </c>
      <c r="J95" s="56">
        <v>0</v>
      </c>
      <c r="K95" s="2">
        <f t="shared" si="5"/>
        <v>0</v>
      </c>
    </row>
    <row r="96" spans="1:11" ht="45.75">
      <c r="A96" s="22" t="s">
        <v>59</v>
      </c>
      <c r="B96" s="77">
        <v>6250</v>
      </c>
      <c r="C96" s="56">
        <f>ROUND(C97*C98*12/1000,2)</f>
        <v>41917.08</v>
      </c>
      <c r="D96" s="57">
        <v>4470</v>
      </c>
      <c r="E96" s="57">
        <v>4470</v>
      </c>
      <c r="F96" s="56">
        <f>ROUND(F97*F98*12/1000,2)</f>
        <v>0</v>
      </c>
      <c r="G96" s="56">
        <f>ROUND(G97*G98*12/1000,2)</f>
        <v>0</v>
      </c>
      <c r="H96" s="56">
        <f>ROUND(H97*H98*12/1000,2)</f>
        <v>0</v>
      </c>
      <c r="I96" s="56">
        <f>ROUND(I97*I98*12/1000,2)</f>
        <v>0</v>
      </c>
      <c r="J96" s="56">
        <f>ROUND(J97*J98*12/1000,2)</f>
        <v>0</v>
      </c>
      <c r="K96" s="2">
        <f t="shared" si="5"/>
        <v>0</v>
      </c>
    </row>
    <row r="97" spans="1:11" ht="18">
      <c r="A97" s="32" t="s">
        <v>57</v>
      </c>
      <c r="B97" s="79"/>
      <c r="C97" s="57">
        <v>81424</v>
      </c>
      <c r="D97" s="57">
        <v>81424</v>
      </c>
      <c r="E97" s="57">
        <v>81424</v>
      </c>
      <c r="F97" s="57">
        <v>0</v>
      </c>
      <c r="G97" s="57"/>
      <c r="H97" s="57"/>
      <c r="I97" s="57"/>
      <c r="J97" s="57">
        <v>0</v>
      </c>
      <c r="K97" s="2">
        <f t="shared" si="5"/>
        <v>0</v>
      </c>
    </row>
    <row r="98" spans="1:11" ht="18">
      <c r="A98" s="32" t="s">
        <v>60</v>
      </c>
      <c r="B98" s="79"/>
      <c r="C98" s="72">
        <f>ROUND(C14*2*0.065,2)</f>
        <v>42.9</v>
      </c>
      <c r="D98" s="72">
        <f>ROUND(D14*2*0.065,2)</f>
        <v>42.9</v>
      </c>
      <c r="E98" s="72">
        <f>ROUND(E14*2*0.065,2)</f>
        <v>42.9</v>
      </c>
      <c r="F98" s="57">
        <v>0</v>
      </c>
      <c r="G98" s="57">
        <v>0</v>
      </c>
      <c r="H98" s="57">
        <v>0</v>
      </c>
      <c r="I98" s="57">
        <v>0</v>
      </c>
      <c r="J98" s="57">
        <v>0</v>
      </c>
      <c r="K98" s="2">
        <f t="shared" si="5"/>
        <v>0</v>
      </c>
    </row>
    <row r="99" spans="1:11" ht="18">
      <c r="A99" s="25"/>
      <c r="B99" s="79"/>
      <c r="C99" s="56"/>
      <c r="D99" s="56"/>
      <c r="E99" s="56"/>
      <c r="F99" s="56"/>
      <c r="G99" s="56"/>
      <c r="H99" s="56"/>
      <c r="I99" s="56"/>
      <c r="J99" s="56"/>
      <c r="K99" s="2">
        <f aca="true" t="shared" si="15" ref="K99:K130">J99-F99</f>
        <v>0</v>
      </c>
    </row>
    <row r="100" spans="1:11" ht="18">
      <c r="A100" s="61" t="s">
        <v>61</v>
      </c>
      <c r="B100" s="77">
        <v>8120.996</v>
      </c>
      <c r="C100" s="67">
        <f>ROUND(C101*C102,2)</f>
        <v>7277.43</v>
      </c>
      <c r="D100" s="67">
        <f>ROUND(D101*D102,2)</f>
        <v>7277.43</v>
      </c>
      <c r="E100" s="67">
        <f>ROUND(E101*E102,2)</f>
        <v>7277.43</v>
      </c>
      <c r="F100" s="59">
        <f>ROUND(F101*F102,2)-473</f>
        <v>8079.52</v>
      </c>
      <c r="G100" s="59">
        <f>ROUND(G101*G102,2)-78</f>
        <v>8847</v>
      </c>
      <c r="H100" s="67">
        <f>ROUND(H101*H102,2)-14</f>
        <v>9656.5</v>
      </c>
      <c r="I100" s="67">
        <f>ROUND(I101*I102,2)+35</f>
        <v>10430.75</v>
      </c>
      <c r="J100" s="59">
        <f>ROUND(J101*J102,2)-473</f>
        <v>8079.52</v>
      </c>
      <c r="K100" s="2">
        <f t="shared" si="15"/>
        <v>0</v>
      </c>
    </row>
    <row r="101" spans="1:11" ht="18">
      <c r="A101" s="32" t="s">
        <v>62</v>
      </c>
      <c r="B101" s="79"/>
      <c r="C101" s="72">
        <f aca="true" t="shared" si="16" ref="C101:J101">C25</f>
        <v>9.1076</v>
      </c>
      <c r="D101" s="72">
        <f t="shared" si="16"/>
        <v>9.1076</v>
      </c>
      <c r="E101" s="72">
        <f t="shared" si="16"/>
        <v>9.1076</v>
      </c>
      <c r="F101" s="72">
        <f t="shared" si="16"/>
        <v>9</v>
      </c>
      <c r="G101" s="72">
        <f t="shared" si="16"/>
        <v>8.5</v>
      </c>
      <c r="H101" s="72">
        <f t="shared" si="16"/>
        <v>8.4</v>
      </c>
      <c r="I101" s="72">
        <f t="shared" si="16"/>
        <v>8.3</v>
      </c>
      <c r="J101" s="72">
        <f t="shared" si="16"/>
        <v>9</v>
      </c>
      <c r="K101" s="2">
        <f t="shared" si="15"/>
        <v>0</v>
      </c>
    </row>
    <row r="102" spans="1:11" ht="18">
      <c r="A102" s="32" t="s">
        <v>63</v>
      </c>
      <c r="B102" s="79"/>
      <c r="C102" s="56">
        <f aca="true" t="shared" si="17" ref="C102:J102">C20</f>
        <v>799.05</v>
      </c>
      <c r="D102" s="56">
        <f t="shared" si="17"/>
        <v>799.05</v>
      </c>
      <c r="E102" s="56">
        <f t="shared" si="17"/>
        <v>799.05</v>
      </c>
      <c r="F102" s="57">
        <f t="shared" si="17"/>
        <v>950.28</v>
      </c>
      <c r="G102" s="56">
        <f t="shared" si="17"/>
        <v>1050</v>
      </c>
      <c r="H102" s="71">
        <f t="shared" si="17"/>
        <v>1151.25</v>
      </c>
      <c r="I102" s="71">
        <f t="shared" si="17"/>
        <v>1252.5</v>
      </c>
      <c r="J102" s="57">
        <f t="shared" si="17"/>
        <v>950.28</v>
      </c>
      <c r="K102" s="2">
        <f t="shared" si="15"/>
        <v>0</v>
      </c>
    </row>
    <row r="103" spans="1:11" ht="18">
      <c r="A103" s="32"/>
      <c r="B103" s="79"/>
      <c r="C103" s="56"/>
      <c r="D103" s="56"/>
      <c r="E103" s="56"/>
      <c r="F103" s="56"/>
      <c r="G103" s="56"/>
      <c r="H103" s="56"/>
      <c r="I103" s="56"/>
      <c r="J103" s="56"/>
      <c r="K103" s="2">
        <f t="shared" si="15"/>
        <v>0</v>
      </c>
    </row>
    <row r="104" spans="1:11" ht="31.5">
      <c r="A104" s="76" t="s">
        <v>64</v>
      </c>
      <c r="B104" s="77">
        <v>196570.995</v>
      </c>
      <c r="C104" s="80">
        <f>ROUND(C105*C106+C107,2)-25</f>
        <v>193045.57</v>
      </c>
      <c r="D104" s="80">
        <v>221046</v>
      </c>
      <c r="E104" s="80">
        <v>221046</v>
      </c>
      <c r="F104" s="80">
        <f>ROUND(F105*F106+F107,2)-74.5</f>
        <v>241797</v>
      </c>
      <c r="G104" s="66">
        <f>ROUND(G105*G106+G107,2)</f>
        <v>264629</v>
      </c>
      <c r="H104" s="66">
        <f>ROUND(H105*H106+H107,2)</f>
        <v>288741.25</v>
      </c>
      <c r="I104" s="66">
        <f>ROUND(I105*I106+I107,2)</f>
        <v>311794.35</v>
      </c>
      <c r="J104" s="80">
        <f>ROUND(J105*J106+J107,2)-74.5</f>
        <v>241797</v>
      </c>
      <c r="K104" s="2">
        <f t="shared" si="15"/>
        <v>0</v>
      </c>
    </row>
    <row r="105" spans="1:11" ht="18">
      <c r="A105" s="32" t="s">
        <v>62</v>
      </c>
      <c r="B105" s="79"/>
      <c r="C105" s="57">
        <f>C26</f>
        <v>189</v>
      </c>
      <c r="D105" s="57">
        <v>217</v>
      </c>
      <c r="E105" s="57">
        <v>217</v>
      </c>
      <c r="F105" s="71">
        <f>F26</f>
        <v>199</v>
      </c>
      <c r="G105" s="57">
        <f>G26</f>
        <v>197.5</v>
      </c>
      <c r="H105" s="57">
        <f>H26</f>
        <v>197</v>
      </c>
      <c r="I105" s="57">
        <f>I26</f>
        <v>195.9</v>
      </c>
      <c r="J105" s="71">
        <f>J26</f>
        <v>199</v>
      </c>
      <c r="K105" s="2">
        <f t="shared" si="15"/>
        <v>0</v>
      </c>
    </row>
    <row r="106" spans="1:11" ht="18">
      <c r="A106" s="32" t="s">
        <v>65</v>
      </c>
      <c r="B106" s="79"/>
      <c r="C106" s="57">
        <f aca="true" t="shared" si="18" ref="C106:J106">C21</f>
        <v>1012.1300000000001</v>
      </c>
      <c r="D106" s="57">
        <f t="shared" si="18"/>
        <v>1012.1300000000001</v>
      </c>
      <c r="E106" s="57">
        <f t="shared" si="18"/>
        <v>1012.1300000000001</v>
      </c>
      <c r="F106" s="57">
        <f t="shared" si="18"/>
        <v>1206.5</v>
      </c>
      <c r="G106" s="57">
        <f t="shared" si="18"/>
        <v>1330</v>
      </c>
      <c r="H106" s="71">
        <f t="shared" si="18"/>
        <v>1458.25</v>
      </c>
      <c r="I106" s="71">
        <f t="shared" si="18"/>
        <v>1586.5</v>
      </c>
      <c r="J106" s="57">
        <f t="shared" si="18"/>
        <v>1206.5</v>
      </c>
      <c r="K106" s="2">
        <f t="shared" si="15"/>
        <v>0</v>
      </c>
    </row>
    <row r="107" spans="1:11" ht="18">
      <c r="A107" s="68" t="s">
        <v>66</v>
      </c>
      <c r="B107" s="79"/>
      <c r="C107" s="56">
        <v>1778</v>
      </c>
      <c r="D107" s="56">
        <v>1778</v>
      </c>
      <c r="E107" s="56">
        <v>1778</v>
      </c>
      <c r="F107" s="56">
        <v>1778</v>
      </c>
      <c r="G107" s="56">
        <v>1954</v>
      </c>
      <c r="H107" s="56">
        <v>1466</v>
      </c>
      <c r="I107" s="56">
        <v>999</v>
      </c>
      <c r="J107" s="56">
        <v>1778</v>
      </c>
      <c r="K107" s="2">
        <f t="shared" si="15"/>
        <v>0</v>
      </c>
    </row>
    <row r="108" spans="1:11" ht="18">
      <c r="A108" s="68"/>
      <c r="B108" s="79"/>
      <c r="C108" s="56"/>
      <c r="D108" s="56"/>
      <c r="E108" s="56"/>
      <c r="F108" s="56"/>
      <c r="G108" s="56"/>
      <c r="H108" s="56"/>
      <c r="I108" s="56"/>
      <c r="J108" s="56"/>
      <c r="K108" s="2">
        <f t="shared" si="15"/>
        <v>0</v>
      </c>
    </row>
    <row r="109" spans="1:11" ht="31.5">
      <c r="A109" s="76" t="s">
        <v>75</v>
      </c>
      <c r="B109" s="77">
        <v>15304.682</v>
      </c>
      <c r="C109" s="67">
        <v>0</v>
      </c>
      <c r="D109" s="67">
        <v>0</v>
      </c>
      <c r="E109" s="67">
        <v>0</v>
      </c>
      <c r="F109" s="67">
        <v>0</v>
      </c>
      <c r="G109" s="67">
        <v>0</v>
      </c>
      <c r="H109" s="67">
        <v>0</v>
      </c>
      <c r="I109" s="67">
        <v>0</v>
      </c>
      <c r="J109" s="67">
        <v>0</v>
      </c>
      <c r="K109" s="2">
        <f t="shared" si="15"/>
        <v>0</v>
      </c>
    </row>
    <row r="110" spans="1:11" ht="18">
      <c r="A110" s="61"/>
      <c r="B110" s="79"/>
      <c r="C110" s="56"/>
      <c r="D110" s="56"/>
      <c r="E110" s="56"/>
      <c r="F110" s="56"/>
      <c r="G110" s="56"/>
      <c r="H110" s="56"/>
      <c r="I110" s="56"/>
      <c r="J110" s="56"/>
      <c r="K110" s="2">
        <f t="shared" si="15"/>
        <v>0</v>
      </c>
    </row>
    <row r="111" spans="1:11" ht="18">
      <c r="A111" s="61" t="s">
        <v>76</v>
      </c>
      <c r="B111" s="77">
        <v>242130.485</v>
      </c>
      <c r="C111" s="81">
        <v>284278</v>
      </c>
      <c r="D111" s="82">
        <v>369278</v>
      </c>
      <c r="E111" s="82">
        <v>269278</v>
      </c>
      <c r="F111" s="83">
        <v>310804.4</v>
      </c>
      <c r="G111" s="84">
        <v>415480</v>
      </c>
      <c r="H111" s="84">
        <v>427700</v>
      </c>
      <c r="I111" s="84">
        <v>440860</v>
      </c>
      <c r="J111" s="83">
        <v>310804.4</v>
      </c>
      <c r="K111" s="2">
        <f t="shared" si="15"/>
        <v>0</v>
      </c>
    </row>
    <row r="112" spans="1:11" ht="18">
      <c r="A112" s="32" t="s">
        <v>77</v>
      </c>
      <c r="B112" s="56"/>
      <c r="C112" s="57">
        <f>C16</f>
        <v>439</v>
      </c>
      <c r="D112" s="57">
        <v>439</v>
      </c>
      <c r="E112" s="57">
        <v>320</v>
      </c>
      <c r="F112" s="57">
        <f>F16</f>
        <v>470</v>
      </c>
      <c r="G112" s="57">
        <f>G16</f>
        <v>470</v>
      </c>
      <c r="H112" s="57">
        <f>H16</f>
        <v>470</v>
      </c>
      <c r="I112" s="57">
        <f>I16</f>
        <v>470</v>
      </c>
      <c r="J112" s="57">
        <f>J16</f>
        <v>470</v>
      </c>
      <c r="K112" s="2">
        <f t="shared" si="15"/>
        <v>0</v>
      </c>
    </row>
    <row r="113" spans="1:11" ht="18">
      <c r="A113" s="32" t="s">
        <v>78</v>
      </c>
      <c r="B113" s="56"/>
      <c r="C113" s="56">
        <f>ROUND(C111/C112,2)</f>
        <v>647.56</v>
      </c>
      <c r="D113" s="57">
        <f>D111/D112</f>
        <v>841.1799544419134</v>
      </c>
      <c r="E113" s="57">
        <f>E111/E112</f>
        <v>841.49375</v>
      </c>
      <c r="F113" s="56">
        <f>F111/F112</f>
        <v>661.2859574468085</v>
      </c>
      <c r="G113" s="56">
        <f>ROUND(G111/G112,2)</f>
        <v>884</v>
      </c>
      <c r="H113" s="56">
        <f>ROUND(H111/H112,2)</f>
        <v>910</v>
      </c>
      <c r="I113" s="56">
        <f>ROUND(I111/I112,2)</f>
        <v>938</v>
      </c>
      <c r="J113" s="56">
        <f>J111/J112</f>
        <v>661.2859574468085</v>
      </c>
      <c r="K113" s="2">
        <f t="shared" si="15"/>
        <v>0</v>
      </c>
    </row>
    <row r="114" spans="1:11" ht="18">
      <c r="A114" s="32"/>
      <c r="B114" s="56"/>
      <c r="C114" s="56"/>
      <c r="D114" s="56"/>
      <c r="E114" s="56"/>
      <c r="F114" s="56"/>
      <c r="G114" s="56"/>
      <c r="H114" s="56"/>
      <c r="I114" s="56"/>
      <c r="J114" s="56"/>
      <c r="K114" s="2">
        <f t="shared" si="15"/>
        <v>0</v>
      </c>
    </row>
    <row r="115" spans="1:11" ht="31.5">
      <c r="A115" s="85" t="s">
        <v>79</v>
      </c>
      <c r="B115" s="57">
        <f aca="true" t="shared" si="19" ref="B115:J115">SUM(B117+B154+B203+B205+B216+B218)</f>
        <v>369773.7679999999</v>
      </c>
      <c r="C115" s="66">
        <f t="shared" si="19"/>
        <v>400761</v>
      </c>
      <c r="D115" s="66">
        <f t="shared" si="19"/>
        <v>476366</v>
      </c>
      <c r="E115" s="66">
        <f t="shared" si="19"/>
        <v>467118</v>
      </c>
      <c r="F115" s="66">
        <f t="shared" si="19"/>
        <v>543456</v>
      </c>
      <c r="G115" s="66">
        <f t="shared" si="19"/>
        <v>556894.052</v>
      </c>
      <c r="H115" s="66">
        <f t="shared" si="19"/>
        <v>572724.62116</v>
      </c>
      <c r="I115" s="66">
        <f t="shared" si="19"/>
        <v>587525.72390092</v>
      </c>
      <c r="J115" s="66">
        <f t="shared" si="19"/>
        <v>543456</v>
      </c>
      <c r="K115" s="2">
        <f t="shared" si="15"/>
        <v>0</v>
      </c>
    </row>
    <row r="116" spans="1:11" ht="18">
      <c r="A116" s="65"/>
      <c r="B116" s="56"/>
      <c r="C116" s="56"/>
      <c r="D116" s="56"/>
      <c r="E116" s="56"/>
      <c r="F116" s="56"/>
      <c r="G116" s="56"/>
      <c r="H116" s="56"/>
      <c r="I116" s="56"/>
      <c r="J116" s="56"/>
      <c r="K116" s="2">
        <f t="shared" si="15"/>
        <v>0</v>
      </c>
    </row>
    <row r="117" spans="1:11" ht="18">
      <c r="A117" s="76" t="s">
        <v>80</v>
      </c>
      <c r="B117" s="57">
        <f>SUM(B121+B139+B147)</f>
        <v>81766.628</v>
      </c>
      <c r="C117" s="57">
        <f>SUM(C121+C139+C147)</f>
        <v>70577</v>
      </c>
      <c r="D117" s="57">
        <f>SUM(D121+D139+D147)</f>
        <v>98449</v>
      </c>
      <c r="E117" s="57">
        <f>SUM(E121+E139+E147)</f>
        <v>98449</v>
      </c>
      <c r="F117" s="57">
        <f>SUM(F121+F139+F147)</f>
        <v>101973</v>
      </c>
      <c r="G117" s="86">
        <f>F117*G8/100-0.4</f>
        <v>106051.52</v>
      </c>
      <c r="H117" s="77">
        <f>G117*H8/100</f>
        <v>109763.3232</v>
      </c>
      <c r="I117" s="77">
        <f>H117*I8/100</f>
        <v>113056.22289599999</v>
      </c>
      <c r="J117" s="57">
        <f>SUM(J121+J139+J147)</f>
        <v>101973</v>
      </c>
      <c r="K117" s="2">
        <f t="shared" si="15"/>
        <v>0</v>
      </c>
    </row>
    <row r="118" spans="1:11" ht="18">
      <c r="A118" s="76"/>
      <c r="B118" s="56"/>
      <c r="C118" s="56"/>
      <c r="D118" s="56"/>
      <c r="E118" s="56"/>
      <c r="F118" s="56"/>
      <c r="G118" s="56"/>
      <c r="H118" s="56"/>
      <c r="I118" s="56"/>
      <c r="J118" s="56"/>
      <c r="K118" s="2">
        <f t="shared" si="15"/>
        <v>0</v>
      </c>
    </row>
    <row r="119" spans="1:11" ht="18">
      <c r="A119" s="87" t="s">
        <v>81</v>
      </c>
      <c r="B119" s="57"/>
      <c r="C119" s="56">
        <v>4181</v>
      </c>
      <c r="D119" s="56">
        <v>4181</v>
      </c>
      <c r="E119" s="56">
        <v>4181</v>
      </c>
      <c r="F119" s="57">
        <v>4181</v>
      </c>
      <c r="G119" s="56"/>
      <c r="H119" s="56"/>
      <c r="I119" s="56"/>
      <c r="J119" s="57">
        <v>4181</v>
      </c>
      <c r="K119" s="2">
        <f t="shared" si="15"/>
        <v>0</v>
      </c>
    </row>
    <row r="120" spans="1:11" ht="18">
      <c r="A120" s="88"/>
      <c r="B120" s="56"/>
      <c r="C120" s="56"/>
      <c r="D120" s="56"/>
      <c r="E120" s="56"/>
      <c r="F120" s="56"/>
      <c r="G120" s="56"/>
      <c r="H120" s="56"/>
      <c r="I120" s="56"/>
      <c r="J120" s="56"/>
      <c r="K120" s="2">
        <f t="shared" si="15"/>
        <v>0</v>
      </c>
    </row>
    <row r="121" spans="1:11" ht="18">
      <c r="A121" s="13" t="s">
        <v>82</v>
      </c>
      <c r="B121" s="56">
        <f>SUM(B122:B138)</f>
        <v>62798.83699999999</v>
      </c>
      <c r="C121" s="56">
        <f>SUM(C122:C138)</f>
        <v>54160</v>
      </c>
      <c r="D121" s="56">
        <f>SUM(D122:D138)</f>
        <v>75876</v>
      </c>
      <c r="E121" s="56">
        <f>SUM(E122:E138)</f>
        <v>75876</v>
      </c>
      <c r="F121" s="56">
        <f>SUM(F122:F138)</f>
        <v>78187</v>
      </c>
      <c r="G121" s="56"/>
      <c r="H121" s="56"/>
      <c r="I121" s="56"/>
      <c r="J121" s="56">
        <f>SUM(J122:J138)</f>
        <v>78187</v>
      </c>
      <c r="K121" s="2">
        <f t="shared" si="15"/>
        <v>0</v>
      </c>
    </row>
    <row r="122" spans="1:11" ht="18">
      <c r="A122" s="68" t="s">
        <v>83</v>
      </c>
      <c r="B122" s="77">
        <v>40276.82</v>
      </c>
      <c r="C122" s="56">
        <v>40482</v>
      </c>
      <c r="D122" s="56">
        <v>40946</v>
      </c>
      <c r="E122" s="56">
        <v>40946</v>
      </c>
      <c r="F122" s="56">
        <v>46456</v>
      </c>
      <c r="G122" s="56"/>
      <c r="H122" s="56"/>
      <c r="I122" s="56"/>
      <c r="J122" s="56">
        <v>46456</v>
      </c>
      <c r="K122" s="2">
        <f t="shared" si="15"/>
        <v>0</v>
      </c>
    </row>
    <row r="123" spans="1:11" ht="18">
      <c r="A123" s="68" t="s">
        <v>84</v>
      </c>
      <c r="B123" s="79">
        <v>1164.433</v>
      </c>
      <c r="C123" s="56">
        <v>1200</v>
      </c>
      <c r="D123" s="56">
        <v>1400</v>
      </c>
      <c r="E123" s="56">
        <v>1400</v>
      </c>
      <c r="F123" s="56">
        <v>1500</v>
      </c>
      <c r="G123" s="56"/>
      <c r="H123" s="56"/>
      <c r="I123" s="56"/>
      <c r="J123" s="56">
        <v>1500</v>
      </c>
      <c r="K123" s="2">
        <f t="shared" si="15"/>
        <v>0</v>
      </c>
    </row>
    <row r="124" spans="1:11" ht="18">
      <c r="A124" s="68" t="s">
        <v>85</v>
      </c>
      <c r="B124" s="79">
        <v>1686.108</v>
      </c>
      <c r="C124" s="56">
        <v>1600</v>
      </c>
      <c r="D124" s="56">
        <v>2100</v>
      </c>
      <c r="E124" s="56">
        <v>2100</v>
      </c>
      <c r="F124" s="56">
        <v>2200</v>
      </c>
      <c r="G124" s="56"/>
      <c r="H124" s="56"/>
      <c r="I124" s="56"/>
      <c r="J124" s="56">
        <v>2200</v>
      </c>
      <c r="K124" s="2">
        <f t="shared" si="15"/>
        <v>0</v>
      </c>
    </row>
    <row r="125" spans="1:11" ht="18">
      <c r="A125" s="68" t="s">
        <v>86</v>
      </c>
      <c r="B125" s="79">
        <v>6892.169</v>
      </c>
      <c r="C125" s="56">
        <v>5735</v>
      </c>
      <c r="D125" s="56">
        <v>8000</v>
      </c>
      <c r="E125" s="56">
        <v>8000</v>
      </c>
      <c r="F125" s="56">
        <v>6770</v>
      </c>
      <c r="G125" s="56"/>
      <c r="H125" s="56"/>
      <c r="I125" s="56"/>
      <c r="J125" s="56">
        <v>6770</v>
      </c>
      <c r="K125" s="2">
        <f t="shared" si="15"/>
        <v>0</v>
      </c>
    </row>
    <row r="126" spans="1:11" ht="18">
      <c r="A126" s="68" t="s">
        <v>87</v>
      </c>
      <c r="B126" s="79">
        <v>367.479</v>
      </c>
      <c r="C126" s="56">
        <v>400</v>
      </c>
      <c r="D126" s="56">
        <v>773</v>
      </c>
      <c r="E126" s="56">
        <v>773</v>
      </c>
      <c r="F126" s="56">
        <v>850</v>
      </c>
      <c r="G126" s="56"/>
      <c r="H126" s="56"/>
      <c r="I126" s="56"/>
      <c r="J126" s="56">
        <v>850</v>
      </c>
      <c r="K126" s="2">
        <f t="shared" si="15"/>
        <v>0</v>
      </c>
    </row>
    <row r="127" spans="1:11" ht="18">
      <c r="A127" s="68" t="s">
        <v>88</v>
      </c>
      <c r="B127" s="79">
        <v>434.255</v>
      </c>
      <c r="C127" s="56">
        <v>280</v>
      </c>
      <c r="D127" s="56">
        <v>687</v>
      </c>
      <c r="E127" s="56">
        <v>687</v>
      </c>
      <c r="F127" s="56">
        <v>700</v>
      </c>
      <c r="G127" s="56"/>
      <c r="H127" s="56"/>
      <c r="I127" s="56"/>
      <c r="J127" s="56">
        <v>700</v>
      </c>
      <c r="K127" s="2">
        <f t="shared" si="15"/>
        <v>0</v>
      </c>
    </row>
    <row r="128" spans="1:11" ht="18">
      <c r="A128" s="68" t="s">
        <v>89</v>
      </c>
      <c r="B128" s="79">
        <v>3962.159</v>
      </c>
      <c r="C128" s="56">
        <v>243</v>
      </c>
      <c r="D128" s="56">
        <v>7000</v>
      </c>
      <c r="E128" s="56">
        <v>7000</v>
      </c>
      <c r="F128" s="56">
        <v>6000</v>
      </c>
      <c r="G128" s="56"/>
      <c r="H128" s="56"/>
      <c r="I128" s="56"/>
      <c r="J128" s="56">
        <v>6000</v>
      </c>
      <c r="K128" s="2">
        <f t="shared" si="15"/>
        <v>0</v>
      </c>
    </row>
    <row r="129" spans="1:11" ht="18">
      <c r="A129" s="68" t="s">
        <v>90</v>
      </c>
      <c r="B129" s="79">
        <v>6034.773</v>
      </c>
      <c r="C129" s="56">
        <v>3900</v>
      </c>
      <c r="D129" s="56">
        <v>8000</v>
      </c>
      <c r="E129" s="56">
        <v>8000</v>
      </c>
      <c r="F129" s="57">
        <v>6500</v>
      </c>
      <c r="G129" s="56"/>
      <c r="H129" s="56"/>
      <c r="I129" s="56"/>
      <c r="J129" s="57">
        <v>6500</v>
      </c>
      <c r="K129" s="2">
        <f t="shared" si="15"/>
        <v>0</v>
      </c>
    </row>
    <row r="130" spans="1:11" ht="18">
      <c r="A130" s="68" t="s">
        <v>91</v>
      </c>
      <c r="B130" s="79">
        <v>0</v>
      </c>
      <c r="C130" s="56"/>
      <c r="D130" s="56"/>
      <c r="E130" s="56"/>
      <c r="F130" s="56">
        <v>3067</v>
      </c>
      <c r="G130" s="56"/>
      <c r="H130" s="56"/>
      <c r="I130" s="56"/>
      <c r="J130" s="56">
        <v>3067</v>
      </c>
      <c r="K130" s="2">
        <f t="shared" si="15"/>
        <v>0</v>
      </c>
    </row>
    <row r="131" spans="1:11" ht="18">
      <c r="A131" s="68" t="s">
        <v>92</v>
      </c>
      <c r="B131" s="79">
        <v>0</v>
      </c>
      <c r="C131" s="56"/>
      <c r="D131" s="56"/>
      <c r="E131" s="56"/>
      <c r="F131" s="56"/>
      <c r="G131" s="56"/>
      <c r="H131" s="56"/>
      <c r="I131" s="56"/>
      <c r="J131" s="56"/>
      <c r="K131" s="2">
        <f aca="true" t="shared" si="20" ref="K131:K162">J131-F131</f>
        <v>0</v>
      </c>
    </row>
    <row r="132" spans="1:11" ht="18">
      <c r="A132" s="68" t="s">
        <v>93</v>
      </c>
      <c r="B132" s="79">
        <v>0</v>
      </c>
      <c r="C132" s="56"/>
      <c r="D132" s="56"/>
      <c r="E132" s="56"/>
      <c r="F132" s="56"/>
      <c r="G132" s="56"/>
      <c r="H132" s="56"/>
      <c r="I132" s="56"/>
      <c r="J132" s="56"/>
      <c r="K132" s="2">
        <f t="shared" si="20"/>
        <v>0</v>
      </c>
    </row>
    <row r="133" spans="1:11" ht="30.75">
      <c r="A133" s="31" t="s">
        <v>94</v>
      </c>
      <c r="B133" s="79">
        <v>147.077</v>
      </c>
      <c r="C133" s="56">
        <v>170</v>
      </c>
      <c r="D133" s="56">
        <v>270</v>
      </c>
      <c r="E133" s="56">
        <v>270</v>
      </c>
      <c r="F133" s="56">
        <v>305</v>
      </c>
      <c r="G133" s="56"/>
      <c r="H133" s="56"/>
      <c r="I133" s="56"/>
      <c r="J133" s="56">
        <v>305</v>
      </c>
      <c r="K133" s="2">
        <f t="shared" si="20"/>
        <v>0</v>
      </c>
    </row>
    <row r="134" spans="1:11" ht="18">
      <c r="A134" s="68" t="s">
        <v>95</v>
      </c>
      <c r="B134" s="79">
        <v>0</v>
      </c>
      <c r="C134" s="56">
        <v>150</v>
      </c>
      <c r="D134" s="56">
        <v>300</v>
      </c>
      <c r="E134" s="56">
        <v>300</v>
      </c>
      <c r="F134" s="56">
        <v>339</v>
      </c>
      <c r="G134" s="56"/>
      <c r="H134" s="56"/>
      <c r="I134" s="56"/>
      <c r="J134" s="56">
        <v>339</v>
      </c>
      <c r="K134" s="2">
        <f t="shared" si="20"/>
        <v>0</v>
      </c>
    </row>
    <row r="135" spans="1:11" ht="18">
      <c r="A135" s="68" t="s">
        <v>96</v>
      </c>
      <c r="B135" s="79">
        <v>321.708</v>
      </c>
      <c r="C135" s="56"/>
      <c r="D135" s="56">
        <v>0</v>
      </c>
      <c r="E135" s="56">
        <v>0</v>
      </c>
      <c r="F135" s="56"/>
      <c r="G135" s="56"/>
      <c r="H135" s="56"/>
      <c r="I135" s="56"/>
      <c r="J135" s="56"/>
      <c r="K135" s="2">
        <f t="shared" si="20"/>
        <v>0</v>
      </c>
    </row>
    <row r="136" spans="1:11" ht="30.75">
      <c r="A136" s="31" t="s">
        <v>97</v>
      </c>
      <c r="B136" s="77">
        <v>0</v>
      </c>
      <c r="C136" s="56"/>
      <c r="D136" s="56"/>
      <c r="E136" s="56"/>
      <c r="F136" s="56"/>
      <c r="G136" s="56"/>
      <c r="H136" s="56"/>
      <c r="I136" s="56"/>
      <c r="J136" s="56"/>
      <c r="K136" s="2">
        <f t="shared" si="20"/>
        <v>0</v>
      </c>
    </row>
    <row r="137" spans="1:11" ht="18">
      <c r="A137" s="68" t="s">
        <v>98</v>
      </c>
      <c r="B137" s="79">
        <v>0</v>
      </c>
      <c r="C137" s="56"/>
      <c r="D137" s="56"/>
      <c r="E137" s="56"/>
      <c r="F137" s="56"/>
      <c r="G137" s="56"/>
      <c r="H137" s="56"/>
      <c r="I137" s="56"/>
      <c r="J137" s="56"/>
      <c r="K137" s="2">
        <f t="shared" si="20"/>
        <v>0</v>
      </c>
    </row>
    <row r="138" spans="1:11" ht="18">
      <c r="A138" s="68" t="s">
        <v>99</v>
      </c>
      <c r="B138" s="79">
        <v>1511.856</v>
      </c>
      <c r="C138" s="56"/>
      <c r="D138" s="56">
        <v>6400</v>
      </c>
      <c r="E138" s="56">
        <v>6400</v>
      </c>
      <c r="F138" s="56">
        <v>3500</v>
      </c>
      <c r="G138" s="56"/>
      <c r="H138" s="56"/>
      <c r="I138" s="56"/>
      <c r="J138" s="56">
        <v>3500</v>
      </c>
      <c r="K138" s="2">
        <f t="shared" si="20"/>
        <v>0</v>
      </c>
    </row>
    <row r="139" spans="1:11" ht="18">
      <c r="A139" s="68" t="s">
        <v>100</v>
      </c>
      <c r="B139" s="56">
        <v>0</v>
      </c>
      <c r="C139" s="56">
        <v>0</v>
      </c>
      <c r="D139" s="56">
        <v>0</v>
      </c>
      <c r="E139" s="56">
        <v>0</v>
      </c>
      <c r="F139" s="56">
        <v>0</v>
      </c>
      <c r="G139" s="56"/>
      <c r="H139" s="56"/>
      <c r="I139" s="56"/>
      <c r="J139" s="56">
        <v>0</v>
      </c>
      <c r="K139" s="2">
        <f t="shared" si="20"/>
        <v>0</v>
      </c>
    </row>
    <row r="140" spans="1:11" ht="18">
      <c r="A140" s="68" t="s">
        <v>101</v>
      </c>
      <c r="B140" s="56"/>
      <c r="C140" s="56"/>
      <c r="D140" s="56"/>
      <c r="E140" s="56"/>
      <c r="F140" s="56"/>
      <c r="G140" s="56"/>
      <c r="H140" s="56"/>
      <c r="I140" s="56"/>
      <c r="J140" s="56"/>
      <c r="K140" s="2">
        <f t="shared" si="20"/>
        <v>0</v>
      </c>
    </row>
    <row r="141" spans="1:11" ht="18">
      <c r="A141" s="68" t="s">
        <v>102</v>
      </c>
      <c r="B141" s="56"/>
      <c r="C141" s="56"/>
      <c r="D141" s="56"/>
      <c r="E141" s="56"/>
      <c r="F141" s="56"/>
      <c r="G141" s="56"/>
      <c r="H141" s="56"/>
      <c r="I141" s="56"/>
      <c r="J141" s="56"/>
      <c r="K141" s="2">
        <f t="shared" si="20"/>
        <v>0</v>
      </c>
    </row>
    <row r="142" spans="1:11" ht="18">
      <c r="A142" s="68" t="s">
        <v>103</v>
      </c>
      <c r="B142" s="56"/>
      <c r="C142" s="56"/>
      <c r="D142" s="56"/>
      <c r="E142" s="56"/>
      <c r="F142" s="56"/>
      <c r="G142" s="56"/>
      <c r="H142" s="56"/>
      <c r="I142" s="56"/>
      <c r="J142" s="56"/>
      <c r="K142" s="2">
        <f t="shared" si="20"/>
        <v>0</v>
      </c>
    </row>
    <row r="143" spans="1:11" ht="30.75">
      <c r="A143" s="31" t="s">
        <v>104</v>
      </c>
      <c r="B143" s="56"/>
      <c r="C143" s="56"/>
      <c r="D143" s="56"/>
      <c r="E143" s="56"/>
      <c r="F143" s="56"/>
      <c r="G143" s="56"/>
      <c r="H143" s="56"/>
      <c r="I143" s="56"/>
      <c r="J143" s="56"/>
      <c r="K143" s="2">
        <f t="shared" si="20"/>
        <v>0</v>
      </c>
    </row>
    <row r="144" spans="1:11" ht="18">
      <c r="A144" s="68" t="s">
        <v>105</v>
      </c>
      <c r="B144" s="56"/>
      <c r="C144" s="56"/>
      <c r="D144" s="56"/>
      <c r="E144" s="56"/>
      <c r="F144" s="56"/>
      <c r="G144" s="56"/>
      <c r="H144" s="56"/>
      <c r="I144" s="56"/>
      <c r="J144" s="56"/>
      <c r="K144" s="2">
        <f t="shared" si="20"/>
        <v>0</v>
      </c>
    </row>
    <row r="145" spans="1:11" ht="18">
      <c r="A145" s="68" t="s">
        <v>106</v>
      </c>
      <c r="B145" s="56"/>
      <c r="C145" s="56"/>
      <c r="D145" s="56"/>
      <c r="E145" s="56"/>
      <c r="F145" s="56"/>
      <c r="G145" s="56"/>
      <c r="H145" s="56"/>
      <c r="I145" s="56"/>
      <c r="J145" s="56"/>
      <c r="K145" s="2">
        <f t="shared" si="20"/>
        <v>0</v>
      </c>
    </row>
    <row r="146" spans="2:11" ht="18">
      <c r="B146" s="56"/>
      <c r="C146" s="56"/>
      <c r="D146" s="56"/>
      <c r="E146" s="56"/>
      <c r="F146" s="56"/>
      <c r="G146" s="56"/>
      <c r="H146" s="56"/>
      <c r="I146" s="56"/>
      <c r="J146" s="56"/>
      <c r="K146" s="2">
        <f t="shared" si="20"/>
        <v>0</v>
      </c>
    </row>
    <row r="147" spans="1:11" ht="18">
      <c r="A147" s="68" t="s">
        <v>107</v>
      </c>
      <c r="B147" s="56">
        <f>SUM(B148:B152)</f>
        <v>18967.790999999997</v>
      </c>
      <c r="C147" s="56">
        <f>SUM(C148:C152)</f>
        <v>16417</v>
      </c>
      <c r="D147" s="56">
        <f>SUM(D148:D152)</f>
        <v>22573</v>
      </c>
      <c r="E147" s="56">
        <f>SUM(E148:E152)</f>
        <v>22573</v>
      </c>
      <c r="F147" s="56">
        <f>SUM(F148:F152)</f>
        <v>23786</v>
      </c>
      <c r="G147" s="56"/>
      <c r="H147" s="56"/>
      <c r="I147" s="56"/>
      <c r="J147" s="56">
        <f>SUM(J148:J152)</f>
        <v>23786</v>
      </c>
      <c r="K147" s="2">
        <f t="shared" si="20"/>
        <v>0</v>
      </c>
    </row>
    <row r="148" spans="1:11" ht="18">
      <c r="A148" s="88" t="s">
        <v>108</v>
      </c>
      <c r="B148" s="77">
        <v>12665.936</v>
      </c>
      <c r="C148" s="56">
        <v>11033</v>
      </c>
      <c r="D148" s="56">
        <v>14438</v>
      </c>
      <c r="E148" s="56">
        <v>14438</v>
      </c>
      <c r="F148" s="56">
        <v>15419</v>
      </c>
      <c r="G148" s="56"/>
      <c r="H148" s="56"/>
      <c r="I148" s="56"/>
      <c r="J148" s="56">
        <v>15419</v>
      </c>
      <c r="K148" s="2">
        <f t="shared" si="20"/>
        <v>0</v>
      </c>
    </row>
    <row r="149" spans="1:11" ht="18">
      <c r="A149" s="88" t="s">
        <v>109</v>
      </c>
      <c r="B149" s="79">
        <v>1775.474</v>
      </c>
      <c r="C149" s="56">
        <v>1346</v>
      </c>
      <c r="D149" s="56">
        <v>1897</v>
      </c>
      <c r="E149" s="56">
        <v>1897</v>
      </c>
      <c r="F149" s="56">
        <v>1955</v>
      </c>
      <c r="G149" s="56"/>
      <c r="H149" s="56"/>
      <c r="I149" s="56"/>
      <c r="J149" s="56">
        <v>1955</v>
      </c>
      <c r="K149" s="2">
        <f t="shared" si="20"/>
        <v>0</v>
      </c>
    </row>
    <row r="150" spans="1:11" ht="18">
      <c r="A150" s="88" t="s">
        <v>110</v>
      </c>
      <c r="B150" s="79">
        <v>4216.622</v>
      </c>
      <c r="C150" s="56">
        <v>3769</v>
      </c>
      <c r="D150" s="56">
        <v>5311</v>
      </c>
      <c r="E150" s="56">
        <v>5311</v>
      </c>
      <c r="F150" s="56">
        <v>5442</v>
      </c>
      <c r="G150" s="56"/>
      <c r="H150" s="56"/>
      <c r="I150" s="56"/>
      <c r="J150" s="56">
        <v>5442</v>
      </c>
      <c r="K150" s="2">
        <f t="shared" si="20"/>
        <v>0</v>
      </c>
    </row>
    <row r="151" spans="1:11" ht="30.75">
      <c r="A151" s="31" t="s">
        <v>111</v>
      </c>
      <c r="B151" s="79">
        <v>309.759</v>
      </c>
      <c r="C151" s="56">
        <v>269</v>
      </c>
      <c r="D151" s="56">
        <v>379</v>
      </c>
      <c r="E151" s="56">
        <v>379</v>
      </c>
      <c r="F151" s="56">
        <v>399</v>
      </c>
      <c r="G151" s="56"/>
      <c r="H151" s="56"/>
      <c r="I151" s="56"/>
      <c r="J151" s="56">
        <v>399</v>
      </c>
      <c r="K151" s="2">
        <f t="shared" si="20"/>
        <v>0</v>
      </c>
    </row>
    <row r="152" spans="1:11" ht="18">
      <c r="A152" s="68" t="s">
        <v>112</v>
      </c>
      <c r="B152" s="56">
        <v>0</v>
      </c>
      <c r="C152" s="56">
        <v>0</v>
      </c>
      <c r="D152" s="56">
        <v>548</v>
      </c>
      <c r="E152" s="56">
        <v>548</v>
      </c>
      <c r="F152" s="56">
        <v>571</v>
      </c>
      <c r="G152" s="56">
        <f>380700-384799</f>
        <v>-4099</v>
      </c>
      <c r="H152" s="56">
        <f>392100-392121</f>
        <v>-21</v>
      </c>
      <c r="I152" s="56">
        <f>402675-402687</f>
        <v>-12</v>
      </c>
      <c r="J152" s="56">
        <v>571</v>
      </c>
      <c r="K152" s="2">
        <f t="shared" si="20"/>
        <v>0</v>
      </c>
    </row>
    <row r="153" spans="1:11" ht="18">
      <c r="A153" s="68"/>
      <c r="B153" s="56"/>
      <c r="C153" s="56"/>
      <c r="D153" s="56"/>
      <c r="E153" s="56"/>
      <c r="F153" s="56"/>
      <c r="G153" s="56"/>
      <c r="H153" s="56"/>
      <c r="I153" s="56"/>
      <c r="J153" s="56"/>
      <c r="K153" s="2">
        <f t="shared" si="20"/>
        <v>0</v>
      </c>
    </row>
    <row r="154" spans="1:11" ht="18">
      <c r="A154" s="65" t="s">
        <v>113</v>
      </c>
      <c r="B154" s="56">
        <f>SUM(B156+B170+B173+B175+B178+B86+B186+B187+B188+B189+B190+B191+B192)</f>
        <v>232856.734</v>
      </c>
      <c r="C154" s="56">
        <f>SUM(C156+C170+C173+C175+C178+C183+C186+C187+C188+C189+C190+C192)</f>
        <v>266456</v>
      </c>
      <c r="D154" s="56">
        <f>SUM(D156+D170+D173+D175+D178+D183+D186+D187+D188+D189+D190+D192)</f>
        <v>313966</v>
      </c>
      <c r="E154" s="56">
        <f>SUM(E156+E170+E173+E175+E178+E183+E186+E187+E188+E189+E190+E192)</f>
        <v>313966</v>
      </c>
      <c r="F154" s="56">
        <f>SUM(F156+F170+F173+F175+F178+F183+F186+F187+F188+F189+F190+F192)</f>
        <v>371428</v>
      </c>
      <c r="G154" s="73">
        <f>F154*G9/100-4099-0.3</f>
        <v>380700.108</v>
      </c>
      <c r="H154" s="73">
        <f>G154*H9/100-21</f>
        <v>392100.11124</v>
      </c>
      <c r="I154" s="73">
        <f>H154*I9/100-12</f>
        <v>402674.81424348004</v>
      </c>
      <c r="J154" s="56">
        <f>SUM(J156+J170+J173+J175+J178+J183+J186+J187+J188+J189+J190+J192)</f>
        <v>371428</v>
      </c>
      <c r="K154" s="2">
        <f t="shared" si="20"/>
        <v>0</v>
      </c>
    </row>
    <row r="155" spans="1:11" ht="18">
      <c r="A155" s="68" t="s">
        <v>114</v>
      </c>
      <c r="B155" s="57"/>
      <c r="C155" s="56"/>
      <c r="D155" s="56"/>
      <c r="E155" s="56"/>
      <c r="F155" s="56"/>
      <c r="G155" s="56"/>
      <c r="H155" s="56"/>
      <c r="I155" s="56"/>
      <c r="J155" s="56"/>
      <c r="K155" s="2">
        <f t="shared" si="20"/>
        <v>0</v>
      </c>
    </row>
    <row r="156" spans="1:11" ht="18">
      <c r="A156" s="89" t="s">
        <v>115</v>
      </c>
      <c r="B156" s="56">
        <f>SUM(B158+B159+B160+B161+B162+B163+B164+B165+B166+B169)</f>
        <v>38159.45</v>
      </c>
      <c r="C156" s="56">
        <f>SUM(C158+C159+C160+C161+C162+C163+C164+C165+C166+C169)</f>
        <v>22675</v>
      </c>
      <c r="D156" s="56">
        <f>SUM(D158+D159+D160+D161+D162+D163+D164+D165+D166+D169)</f>
        <v>41781</v>
      </c>
      <c r="E156" s="56">
        <f>SUM(E158+E159+E160+E161+E162+E163+E164+E165+E166+E169)</f>
        <v>41781</v>
      </c>
      <c r="F156" s="56">
        <f>SUM(F158+F159+F160+F161+F162+F163+F164+F165+F166+F169)</f>
        <v>33117</v>
      </c>
      <c r="G156" s="56"/>
      <c r="H156" s="56"/>
      <c r="I156" s="56"/>
      <c r="J156" s="56">
        <f>SUM(J158+J159+J160+J161+J162+J163+J164+J165+J166+J169)</f>
        <v>33117</v>
      </c>
      <c r="K156" s="2">
        <f t="shared" si="20"/>
        <v>0</v>
      </c>
    </row>
    <row r="157" spans="1:11" ht="18">
      <c r="A157" s="90" t="s">
        <v>116</v>
      </c>
      <c r="B157" s="56"/>
      <c r="C157" s="56"/>
      <c r="D157" s="56"/>
      <c r="E157" s="56"/>
      <c r="F157" s="56"/>
      <c r="G157" s="56"/>
      <c r="H157" s="56"/>
      <c r="I157" s="56"/>
      <c r="J157" s="56"/>
      <c r="K157" s="2">
        <f t="shared" si="20"/>
        <v>0</v>
      </c>
    </row>
    <row r="158" spans="1:11" ht="18">
      <c r="A158" s="68" t="s">
        <v>117</v>
      </c>
      <c r="B158" s="77">
        <v>4742.471</v>
      </c>
      <c r="C158" s="56">
        <v>778</v>
      </c>
      <c r="D158" s="56">
        <v>778</v>
      </c>
      <c r="E158" s="56">
        <v>778</v>
      </c>
      <c r="F158" s="56">
        <v>813</v>
      </c>
      <c r="G158" s="56"/>
      <c r="H158" s="56"/>
      <c r="I158" s="56"/>
      <c r="J158" s="56">
        <v>813</v>
      </c>
      <c r="K158" s="2">
        <f t="shared" si="20"/>
        <v>0</v>
      </c>
    </row>
    <row r="159" spans="1:11" ht="18">
      <c r="A159" s="68" t="s">
        <v>118</v>
      </c>
      <c r="B159" s="79">
        <v>310.704</v>
      </c>
      <c r="C159" s="56">
        <v>311</v>
      </c>
      <c r="D159" s="56">
        <v>311</v>
      </c>
      <c r="E159" s="56">
        <v>311</v>
      </c>
      <c r="F159" s="56">
        <v>325</v>
      </c>
      <c r="G159" s="56"/>
      <c r="H159" s="56"/>
      <c r="I159" s="56"/>
      <c r="J159" s="56">
        <v>325</v>
      </c>
      <c r="K159" s="2">
        <f t="shared" si="20"/>
        <v>0</v>
      </c>
    </row>
    <row r="160" spans="1:11" ht="18">
      <c r="A160" s="32" t="s">
        <v>119</v>
      </c>
      <c r="B160" s="77">
        <v>3305.111</v>
      </c>
      <c r="C160" s="56">
        <v>2334</v>
      </c>
      <c r="D160" s="56">
        <v>2334</v>
      </c>
      <c r="E160" s="56">
        <v>2334</v>
      </c>
      <c r="F160" s="56">
        <v>2439</v>
      </c>
      <c r="G160" s="56"/>
      <c r="H160" s="56"/>
      <c r="I160" s="56"/>
      <c r="J160" s="56">
        <v>2439</v>
      </c>
      <c r="K160" s="2">
        <f t="shared" si="20"/>
        <v>0</v>
      </c>
    </row>
    <row r="161" spans="1:11" ht="18">
      <c r="A161" s="68" t="s">
        <v>120</v>
      </c>
      <c r="B161" s="77">
        <v>438.838</v>
      </c>
      <c r="C161" s="56">
        <v>778</v>
      </c>
      <c r="D161" s="56">
        <v>778</v>
      </c>
      <c r="E161" s="56">
        <v>778</v>
      </c>
      <c r="F161" s="56">
        <v>813</v>
      </c>
      <c r="G161" s="56"/>
      <c r="H161" s="56"/>
      <c r="I161" s="56"/>
      <c r="J161" s="56">
        <v>813</v>
      </c>
      <c r="K161" s="2">
        <f t="shared" si="20"/>
        <v>0</v>
      </c>
    </row>
    <row r="162" spans="1:11" ht="18">
      <c r="A162" s="13" t="s">
        <v>121</v>
      </c>
      <c r="B162" s="77">
        <v>0</v>
      </c>
      <c r="C162" s="56">
        <v>3112</v>
      </c>
      <c r="D162" s="56">
        <v>3112</v>
      </c>
      <c r="E162" s="56">
        <v>3112</v>
      </c>
      <c r="F162" s="56">
        <v>3252</v>
      </c>
      <c r="G162" s="56"/>
      <c r="H162" s="56"/>
      <c r="I162" s="56"/>
      <c r="J162" s="56">
        <v>3252</v>
      </c>
      <c r="K162" s="2">
        <f t="shared" si="20"/>
        <v>0</v>
      </c>
    </row>
    <row r="163" spans="1:11" ht="18">
      <c r="A163" s="13" t="s">
        <v>122</v>
      </c>
      <c r="B163" s="77">
        <v>0</v>
      </c>
      <c r="C163" s="56">
        <v>467</v>
      </c>
      <c r="D163" s="56">
        <v>467</v>
      </c>
      <c r="E163" s="56">
        <v>467</v>
      </c>
      <c r="F163" s="56">
        <v>488</v>
      </c>
      <c r="G163" s="56"/>
      <c r="H163" s="56"/>
      <c r="I163" s="56"/>
      <c r="J163" s="56">
        <v>488</v>
      </c>
      <c r="K163" s="2">
        <f aca="true" t="shared" si="21" ref="K163:K194">J163-F163</f>
        <v>0</v>
      </c>
    </row>
    <row r="164" spans="1:11" ht="18">
      <c r="A164" s="13" t="s">
        <v>123</v>
      </c>
      <c r="B164" s="77">
        <v>0</v>
      </c>
      <c r="C164" s="56">
        <v>55</v>
      </c>
      <c r="D164" s="56">
        <v>55</v>
      </c>
      <c r="E164" s="56">
        <v>55</v>
      </c>
      <c r="F164" s="56">
        <v>57</v>
      </c>
      <c r="G164" s="56"/>
      <c r="H164" s="56"/>
      <c r="I164" s="56"/>
      <c r="J164" s="56">
        <v>57</v>
      </c>
      <c r="K164" s="2">
        <f t="shared" si="21"/>
        <v>0</v>
      </c>
    </row>
    <row r="165" spans="1:11" ht="30.75">
      <c r="A165" s="22" t="s">
        <v>124</v>
      </c>
      <c r="B165" s="77">
        <v>4691.832</v>
      </c>
      <c r="C165" s="56">
        <v>6132</v>
      </c>
      <c r="D165" s="56">
        <v>6132</v>
      </c>
      <c r="E165" s="56">
        <v>6132</v>
      </c>
      <c r="F165" s="56">
        <v>6408</v>
      </c>
      <c r="G165" s="56"/>
      <c r="H165" s="56"/>
      <c r="I165" s="56"/>
      <c r="J165" s="57">
        <v>6408</v>
      </c>
      <c r="K165" s="2">
        <f t="shared" si="21"/>
        <v>0</v>
      </c>
    </row>
    <row r="166" spans="1:11" ht="30.75">
      <c r="A166" s="22" t="s">
        <v>125</v>
      </c>
      <c r="B166" s="79">
        <v>12857.424</v>
      </c>
      <c r="C166" s="56">
        <v>263</v>
      </c>
      <c r="D166" s="56">
        <v>263</v>
      </c>
      <c r="E166" s="56">
        <v>263</v>
      </c>
      <c r="F166" s="56">
        <v>275</v>
      </c>
      <c r="G166" s="56"/>
      <c r="H166" s="56"/>
      <c r="I166" s="56"/>
      <c r="J166" s="56">
        <v>275</v>
      </c>
      <c r="K166" s="2">
        <f t="shared" si="21"/>
        <v>0</v>
      </c>
    </row>
    <row r="167" spans="1:11" ht="18">
      <c r="A167" s="90" t="s">
        <v>126</v>
      </c>
      <c r="B167" s="79"/>
      <c r="C167" s="56"/>
      <c r="D167" s="56"/>
      <c r="E167" s="56"/>
      <c r="F167" s="56"/>
      <c r="G167" s="56"/>
      <c r="H167" s="56"/>
      <c r="I167" s="56"/>
      <c r="J167" s="56"/>
      <c r="K167" s="2">
        <f t="shared" si="21"/>
        <v>0</v>
      </c>
    </row>
    <row r="168" spans="1:11" ht="18">
      <c r="A168" s="13" t="s">
        <v>127</v>
      </c>
      <c r="B168" s="79"/>
      <c r="C168" s="56"/>
      <c r="D168" s="56"/>
      <c r="E168" s="56"/>
      <c r="F168" s="56"/>
      <c r="G168" s="56"/>
      <c r="H168" s="56"/>
      <c r="I168" s="56"/>
      <c r="J168" s="56"/>
      <c r="K168" s="2">
        <f t="shared" si="21"/>
        <v>0</v>
      </c>
    </row>
    <row r="169" spans="1:11" ht="30.75">
      <c r="A169" s="22" t="s">
        <v>129</v>
      </c>
      <c r="B169" s="77">
        <v>11813.07</v>
      </c>
      <c r="C169" s="56">
        <v>8445</v>
      </c>
      <c r="D169" s="56">
        <v>27551</v>
      </c>
      <c r="E169" s="56">
        <v>27551</v>
      </c>
      <c r="F169" s="56">
        <v>18247</v>
      </c>
      <c r="G169" s="56"/>
      <c r="H169" s="56"/>
      <c r="I169" s="56"/>
      <c r="J169" s="56">
        <v>18247</v>
      </c>
      <c r="K169" s="2">
        <f t="shared" si="21"/>
        <v>0</v>
      </c>
    </row>
    <row r="170" spans="1:11" ht="18">
      <c r="A170" s="91" t="s">
        <v>130</v>
      </c>
      <c r="B170" s="77">
        <v>1823.859</v>
      </c>
      <c r="C170" s="56">
        <v>6563</v>
      </c>
      <c r="D170" s="56">
        <v>6563</v>
      </c>
      <c r="E170" s="56">
        <v>6563</v>
      </c>
      <c r="F170" s="56">
        <v>6858</v>
      </c>
      <c r="G170" s="56"/>
      <c r="H170" s="56"/>
      <c r="I170" s="56"/>
      <c r="J170" s="56">
        <v>6858</v>
      </c>
      <c r="K170" s="2">
        <f t="shared" si="21"/>
        <v>0</v>
      </c>
    </row>
    <row r="171" spans="1:11" ht="18">
      <c r="A171" s="13" t="s">
        <v>131</v>
      </c>
      <c r="B171" s="77"/>
      <c r="C171" s="56"/>
      <c r="D171" s="56"/>
      <c r="E171" s="56"/>
      <c r="F171" s="56"/>
      <c r="G171" s="56"/>
      <c r="H171" s="56"/>
      <c r="I171" s="56"/>
      <c r="J171" s="56"/>
      <c r="K171" s="2">
        <f t="shared" si="21"/>
        <v>0</v>
      </c>
    </row>
    <row r="172" spans="1:11" ht="18">
      <c r="A172" s="13" t="s">
        <v>132</v>
      </c>
      <c r="B172" s="79"/>
      <c r="C172" s="56"/>
      <c r="D172" s="56"/>
      <c r="E172" s="56"/>
      <c r="F172" s="56"/>
      <c r="G172" s="56"/>
      <c r="H172" s="56"/>
      <c r="I172" s="56"/>
      <c r="J172" s="56"/>
      <c r="K172" s="2">
        <f t="shared" si="21"/>
        <v>0</v>
      </c>
    </row>
    <row r="173" spans="1:11" ht="18">
      <c r="A173" s="91" t="s">
        <v>133</v>
      </c>
      <c r="B173" s="77">
        <f>B174</f>
        <v>260.322</v>
      </c>
      <c r="C173" s="56">
        <f>C174</f>
        <v>215</v>
      </c>
      <c r="D173" s="56">
        <f>D174</f>
        <v>215</v>
      </c>
      <c r="E173" s="56">
        <f>E174</f>
        <v>215</v>
      </c>
      <c r="F173" s="56">
        <f>F174</f>
        <v>225</v>
      </c>
      <c r="G173" s="56"/>
      <c r="H173" s="56"/>
      <c r="I173" s="56"/>
      <c r="J173" s="56">
        <f>J174</f>
        <v>225</v>
      </c>
      <c r="K173" s="2">
        <f t="shared" si="21"/>
        <v>0</v>
      </c>
    </row>
    <row r="174" spans="1:11" ht="18">
      <c r="A174" s="13" t="s">
        <v>134</v>
      </c>
      <c r="B174" s="79">
        <v>260.322</v>
      </c>
      <c r="C174" s="56">
        <v>215</v>
      </c>
      <c r="D174" s="56">
        <v>215</v>
      </c>
      <c r="E174" s="56">
        <v>215</v>
      </c>
      <c r="F174" s="56">
        <v>225</v>
      </c>
      <c r="G174" s="56"/>
      <c r="H174" s="56"/>
      <c r="I174" s="56"/>
      <c r="J174" s="56">
        <v>225</v>
      </c>
      <c r="K174" s="2">
        <f t="shared" si="21"/>
        <v>0</v>
      </c>
    </row>
    <row r="175" spans="1:11" ht="18">
      <c r="A175" s="92" t="s">
        <v>135</v>
      </c>
      <c r="B175" s="77">
        <f>B176+B177</f>
        <v>358.723</v>
      </c>
      <c r="C175" s="77">
        <f>C176+C177</f>
        <v>519</v>
      </c>
      <c r="D175" s="77">
        <f>D176+D177</f>
        <v>519</v>
      </c>
      <c r="E175" s="77">
        <f>E176+E177</f>
        <v>519</v>
      </c>
      <c r="F175" s="77">
        <f>F176+F177</f>
        <v>542</v>
      </c>
      <c r="G175" s="77"/>
      <c r="H175" s="77"/>
      <c r="I175" s="77"/>
      <c r="J175" s="77">
        <f>J176+J177</f>
        <v>542</v>
      </c>
      <c r="K175" s="2">
        <f t="shared" si="21"/>
        <v>0</v>
      </c>
    </row>
    <row r="176" spans="1:11" ht="18">
      <c r="A176" s="13" t="s">
        <v>136</v>
      </c>
      <c r="B176" s="79">
        <v>148.568</v>
      </c>
      <c r="C176" s="56">
        <v>307</v>
      </c>
      <c r="D176" s="56">
        <v>307</v>
      </c>
      <c r="E176" s="56">
        <v>307</v>
      </c>
      <c r="F176" s="56">
        <v>321</v>
      </c>
      <c r="G176" s="56"/>
      <c r="H176" s="56"/>
      <c r="I176" s="56"/>
      <c r="J176" s="56">
        <v>321</v>
      </c>
      <c r="K176" s="2">
        <f t="shared" si="21"/>
        <v>0</v>
      </c>
    </row>
    <row r="177" spans="1:11" ht="18">
      <c r="A177" s="13" t="s">
        <v>137</v>
      </c>
      <c r="B177" s="79">
        <v>210.155</v>
      </c>
      <c r="C177" s="56">
        <v>212</v>
      </c>
      <c r="D177" s="56">
        <v>212</v>
      </c>
      <c r="E177" s="56">
        <v>212</v>
      </c>
      <c r="F177" s="56">
        <v>221</v>
      </c>
      <c r="G177" s="56"/>
      <c r="H177" s="56"/>
      <c r="I177" s="56"/>
      <c r="J177" s="56">
        <v>221</v>
      </c>
      <c r="K177" s="2">
        <f t="shared" si="21"/>
        <v>0</v>
      </c>
    </row>
    <row r="178" spans="1:11" ht="18">
      <c r="A178" s="91" t="s">
        <v>138</v>
      </c>
      <c r="B178" s="77">
        <f>B180</f>
        <v>1012.236</v>
      </c>
      <c r="C178" s="77">
        <f>C180</f>
        <v>991</v>
      </c>
      <c r="D178" s="77">
        <f>D180</f>
        <v>991</v>
      </c>
      <c r="E178" s="77">
        <f>E180</f>
        <v>991</v>
      </c>
      <c r="F178" s="77">
        <f>F179+F180</f>
        <v>1338</v>
      </c>
      <c r="G178" s="77"/>
      <c r="H178" s="77"/>
      <c r="I178" s="77"/>
      <c r="J178" s="77">
        <f>J179+J180</f>
        <v>1338</v>
      </c>
      <c r="K178" s="2">
        <f t="shared" si="21"/>
        <v>0</v>
      </c>
    </row>
    <row r="179" spans="1:11" ht="18">
      <c r="A179" s="13" t="s">
        <v>139</v>
      </c>
      <c r="B179" s="77">
        <v>0</v>
      </c>
      <c r="C179" s="77">
        <v>0</v>
      </c>
      <c r="D179" s="77">
        <v>0</v>
      </c>
      <c r="E179" s="77">
        <v>0</v>
      </c>
      <c r="F179" s="77">
        <v>100</v>
      </c>
      <c r="G179" s="77"/>
      <c r="H179" s="77"/>
      <c r="I179" s="77"/>
      <c r="J179" s="77">
        <v>100</v>
      </c>
      <c r="K179" s="2">
        <f t="shared" si="21"/>
        <v>0</v>
      </c>
    </row>
    <row r="180" spans="1:11" ht="18">
      <c r="A180" s="13" t="s">
        <v>140</v>
      </c>
      <c r="B180" s="77">
        <v>1012.236</v>
      </c>
      <c r="C180" s="56">
        <v>991</v>
      </c>
      <c r="D180" s="56">
        <v>991</v>
      </c>
      <c r="E180" s="56">
        <v>991</v>
      </c>
      <c r="F180" s="56">
        <v>1238</v>
      </c>
      <c r="G180" s="56"/>
      <c r="H180" s="56"/>
      <c r="I180" s="56"/>
      <c r="J180" s="56">
        <v>1238</v>
      </c>
      <c r="K180" s="2">
        <f t="shared" si="21"/>
        <v>0</v>
      </c>
    </row>
    <row r="181" spans="1:11" ht="18">
      <c r="A181" s="13" t="s">
        <v>141</v>
      </c>
      <c r="B181" s="77"/>
      <c r="C181" s="56"/>
      <c r="D181" s="56"/>
      <c r="E181" s="56"/>
      <c r="F181" s="56"/>
      <c r="G181" s="56"/>
      <c r="H181" s="56"/>
      <c r="I181" s="56"/>
      <c r="J181" s="56"/>
      <c r="K181" s="2">
        <f t="shared" si="21"/>
        <v>0</v>
      </c>
    </row>
    <row r="182" spans="1:11" ht="18">
      <c r="A182" s="13" t="s">
        <v>127</v>
      </c>
      <c r="B182" s="79"/>
      <c r="C182" s="56"/>
      <c r="D182" s="56"/>
      <c r="E182" s="56"/>
      <c r="F182" s="56"/>
      <c r="G182" s="56"/>
      <c r="H182" s="56"/>
      <c r="I182" s="56"/>
      <c r="J182" s="56"/>
      <c r="K182" s="2">
        <f t="shared" si="21"/>
        <v>0</v>
      </c>
    </row>
    <row r="183" spans="1:11" ht="18">
      <c r="A183" s="91" t="s">
        <v>142</v>
      </c>
      <c r="B183" s="77">
        <f>B184+B185</f>
        <v>0</v>
      </c>
      <c r="C183" s="77">
        <f>C184+C185</f>
        <v>613</v>
      </c>
      <c r="D183" s="77">
        <f>D184+D185</f>
        <v>1300</v>
      </c>
      <c r="E183" s="77">
        <f>E184+E185</f>
        <v>1300</v>
      </c>
      <c r="F183" s="77">
        <f>F184+F185</f>
        <v>5505</v>
      </c>
      <c r="G183" s="77"/>
      <c r="H183" s="77"/>
      <c r="I183" s="77"/>
      <c r="J183" s="77">
        <f>J184+J185</f>
        <v>5505</v>
      </c>
      <c r="K183" s="2">
        <f t="shared" si="21"/>
        <v>0</v>
      </c>
    </row>
    <row r="184" spans="1:11" ht="18">
      <c r="A184" s="22" t="s">
        <v>143</v>
      </c>
      <c r="B184" s="77">
        <v>0</v>
      </c>
      <c r="C184" s="56">
        <v>369</v>
      </c>
      <c r="D184" s="56">
        <v>1056</v>
      </c>
      <c r="E184" s="56">
        <v>1056</v>
      </c>
      <c r="F184" s="56">
        <v>5250</v>
      </c>
      <c r="G184" s="56"/>
      <c r="H184" s="56"/>
      <c r="I184" s="56"/>
      <c r="J184" s="56">
        <v>5250</v>
      </c>
      <c r="K184" s="2">
        <f t="shared" si="21"/>
        <v>0</v>
      </c>
    </row>
    <row r="185" spans="1:11" ht="18">
      <c r="A185" s="13" t="s">
        <v>144</v>
      </c>
      <c r="B185" s="77">
        <v>0</v>
      </c>
      <c r="C185" s="56">
        <v>244</v>
      </c>
      <c r="D185" s="56">
        <v>244</v>
      </c>
      <c r="E185" s="56">
        <v>244</v>
      </c>
      <c r="F185" s="56">
        <v>255</v>
      </c>
      <c r="G185" s="56"/>
      <c r="H185" s="56"/>
      <c r="I185" s="56"/>
      <c r="J185" s="56">
        <v>255</v>
      </c>
      <c r="K185" s="2">
        <f t="shared" si="21"/>
        <v>0</v>
      </c>
    </row>
    <row r="186" spans="1:11" ht="18">
      <c r="A186" s="91" t="s">
        <v>150</v>
      </c>
      <c r="B186" s="77">
        <v>0</v>
      </c>
      <c r="C186" s="56">
        <v>113</v>
      </c>
      <c r="D186" s="56">
        <v>113</v>
      </c>
      <c r="E186" s="56">
        <v>113</v>
      </c>
      <c r="F186" s="56">
        <v>118</v>
      </c>
      <c r="G186" s="56"/>
      <c r="H186" s="56"/>
      <c r="I186" s="56"/>
      <c r="J186" s="56">
        <v>118</v>
      </c>
      <c r="K186" s="2">
        <f t="shared" si="21"/>
        <v>0</v>
      </c>
    </row>
    <row r="187" spans="1:11" ht="18">
      <c r="A187" s="91" t="s">
        <v>151</v>
      </c>
      <c r="B187" s="77">
        <v>95.798</v>
      </c>
      <c r="C187" s="56">
        <v>0</v>
      </c>
      <c r="D187" s="56">
        <v>28</v>
      </c>
      <c r="E187" s="56">
        <v>28</v>
      </c>
      <c r="F187" s="56">
        <v>40</v>
      </c>
      <c r="G187" s="56"/>
      <c r="H187" s="56"/>
      <c r="I187" s="56"/>
      <c r="J187" s="56">
        <v>40</v>
      </c>
      <c r="K187" s="2">
        <f t="shared" si="21"/>
        <v>0</v>
      </c>
    </row>
    <row r="188" spans="1:11" ht="18">
      <c r="A188" s="91" t="s">
        <v>152</v>
      </c>
      <c r="B188" s="79">
        <v>103.271</v>
      </c>
      <c r="C188" s="56">
        <v>127</v>
      </c>
      <c r="D188" s="56">
        <v>307</v>
      </c>
      <c r="E188" s="56">
        <v>307</v>
      </c>
      <c r="F188" s="56">
        <v>1630</v>
      </c>
      <c r="G188" s="56"/>
      <c r="H188" s="56"/>
      <c r="I188" s="56"/>
      <c r="J188" s="56">
        <v>1630</v>
      </c>
      <c r="K188" s="2">
        <f t="shared" si="21"/>
        <v>0</v>
      </c>
    </row>
    <row r="189" spans="1:11" ht="18">
      <c r="A189" s="91" t="s">
        <v>153</v>
      </c>
      <c r="B189" s="79">
        <v>1.257</v>
      </c>
      <c r="C189" s="56">
        <v>11</v>
      </c>
      <c r="D189" s="56">
        <v>11</v>
      </c>
      <c r="E189" s="56">
        <v>11</v>
      </c>
      <c r="F189" s="56">
        <v>12</v>
      </c>
      <c r="G189" s="56"/>
      <c r="H189" s="56"/>
      <c r="I189" s="56"/>
      <c r="J189" s="56">
        <v>12</v>
      </c>
      <c r="K189" s="2">
        <f t="shared" si="21"/>
        <v>0</v>
      </c>
    </row>
    <row r="190" spans="1:11" ht="30.75">
      <c r="A190" s="93" t="s">
        <v>154</v>
      </c>
      <c r="B190" s="94">
        <v>0</v>
      </c>
      <c r="C190" s="56">
        <f>C191</f>
        <v>0</v>
      </c>
      <c r="D190" s="56">
        <f>D191</f>
        <v>114</v>
      </c>
      <c r="E190" s="56">
        <f>E191</f>
        <v>114</v>
      </c>
      <c r="F190" s="56">
        <f>F191</f>
        <v>80</v>
      </c>
      <c r="G190" s="56"/>
      <c r="H190" s="56"/>
      <c r="I190" s="56"/>
      <c r="J190" s="56">
        <f>J191</f>
        <v>80</v>
      </c>
      <c r="K190" s="2">
        <f t="shared" si="21"/>
        <v>0</v>
      </c>
    </row>
    <row r="191" spans="1:11" ht="30.75">
      <c r="A191" s="22" t="s">
        <v>155</v>
      </c>
      <c r="B191" s="77"/>
      <c r="C191" s="56">
        <v>0</v>
      </c>
      <c r="D191" s="56">
        <v>114</v>
      </c>
      <c r="E191" s="56">
        <v>114</v>
      </c>
      <c r="F191" s="56">
        <v>80</v>
      </c>
      <c r="G191" s="56"/>
      <c r="H191" s="56"/>
      <c r="I191" s="56"/>
      <c r="J191" s="56">
        <v>80</v>
      </c>
      <c r="K191" s="2">
        <f t="shared" si="21"/>
        <v>0</v>
      </c>
    </row>
    <row r="192" spans="1:11" ht="18">
      <c r="A192" s="91" t="s">
        <v>156</v>
      </c>
      <c r="B192" s="77">
        <f>SUM(B193+B194+B195+B198+B199)</f>
        <v>191041.818</v>
      </c>
      <c r="C192" s="77">
        <f>SUM(C193+C194+C195+C199)</f>
        <v>234629</v>
      </c>
      <c r="D192" s="77">
        <f>SUM(D193+D194+D195+D199)</f>
        <v>262024</v>
      </c>
      <c r="E192" s="77">
        <f>SUM(E193+E194+E195+E199)</f>
        <v>262024</v>
      </c>
      <c r="F192" s="77">
        <f>SUM(F193+F194+F195+F199)</f>
        <v>321963</v>
      </c>
      <c r="G192" s="77"/>
      <c r="H192" s="77"/>
      <c r="I192" s="77"/>
      <c r="J192" s="77">
        <f>SUM(J193+J194+J195+J199)</f>
        <v>321963</v>
      </c>
      <c r="K192" s="2">
        <f t="shared" si="21"/>
        <v>0</v>
      </c>
    </row>
    <row r="193" spans="1:11" ht="18">
      <c r="A193" s="13" t="s">
        <v>157</v>
      </c>
      <c r="B193" s="77">
        <v>8.416</v>
      </c>
      <c r="C193" s="56">
        <v>11</v>
      </c>
      <c r="D193" s="56">
        <v>11</v>
      </c>
      <c r="E193" s="56">
        <v>11</v>
      </c>
      <c r="F193" s="56">
        <v>12</v>
      </c>
      <c r="G193" s="56"/>
      <c r="H193" s="56"/>
      <c r="I193" s="56"/>
      <c r="J193" s="56">
        <v>12</v>
      </c>
      <c r="K193" s="2">
        <f t="shared" si="21"/>
        <v>0</v>
      </c>
    </row>
    <row r="194" spans="1:11" ht="18">
      <c r="A194" s="13" t="s">
        <v>158</v>
      </c>
      <c r="B194" s="77">
        <v>0</v>
      </c>
      <c r="C194" s="56">
        <v>300</v>
      </c>
      <c r="D194" s="56">
        <v>3075</v>
      </c>
      <c r="E194" s="56">
        <v>3075</v>
      </c>
      <c r="F194" s="56">
        <v>5000</v>
      </c>
      <c r="G194" s="56"/>
      <c r="H194" s="56"/>
      <c r="I194" s="56"/>
      <c r="J194" s="56">
        <v>5000</v>
      </c>
      <c r="K194" s="2">
        <f t="shared" si="21"/>
        <v>0</v>
      </c>
    </row>
    <row r="195" spans="1:11" ht="30.75">
      <c r="A195" s="22" t="s">
        <v>159</v>
      </c>
      <c r="B195" s="77">
        <v>188921.64</v>
      </c>
      <c r="C195" s="56">
        <v>230324</v>
      </c>
      <c r="D195" s="56">
        <v>230324</v>
      </c>
      <c r="E195" s="56">
        <v>230324</v>
      </c>
      <c r="F195" s="56">
        <v>276420</v>
      </c>
      <c r="G195" s="77">
        <f>ROUND(+G196*G197/100,0)</f>
        <v>353426</v>
      </c>
      <c r="H195" s="77">
        <f>ROUND(+H196*H197/100,0)</f>
        <v>364493</v>
      </c>
      <c r="I195" s="77">
        <f>ROUND(+I196*I197/100,0)</f>
        <v>399963</v>
      </c>
      <c r="J195" s="56">
        <v>276420</v>
      </c>
      <c r="K195" s="2">
        <f aca="true" t="shared" si="22" ref="K195:K218">J195-F195</f>
        <v>0</v>
      </c>
    </row>
    <row r="196" spans="1:11" ht="30.75">
      <c r="A196" s="31" t="s">
        <v>160</v>
      </c>
      <c r="B196" s="77"/>
      <c r="C196" s="56"/>
      <c r="D196" s="56"/>
      <c r="E196" s="56"/>
      <c r="F196" s="56">
        <f>F65</f>
        <v>21228600.200000003</v>
      </c>
      <c r="G196" s="56">
        <f>G65</f>
        <v>26179722.200000003</v>
      </c>
      <c r="H196" s="56">
        <f>H65</f>
        <v>26999509.200000003</v>
      </c>
      <c r="I196" s="56">
        <f>I65</f>
        <v>29626907.4</v>
      </c>
      <c r="J196" s="95">
        <f>F65</f>
        <v>21228600.200000003</v>
      </c>
      <c r="K196" s="2">
        <f t="shared" si="22"/>
        <v>0</v>
      </c>
    </row>
    <row r="197" spans="1:11" ht="18">
      <c r="A197" s="32" t="s">
        <v>161</v>
      </c>
      <c r="B197" s="96"/>
      <c r="C197" s="56"/>
      <c r="D197" s="56"/>
      <c r="E197" s="56"/>
      <c r="F197" s="72">
        <v>1.3</v>
      </c>
      <c r="G197" s="97">
        <v>1.35</v>
      </c>
      <c r="H197" s="97">
        <v>1.35</v>
      </c>
      <c r="I197" s="97">
        <v>1.35</v>
      </c>
      <c r="J197" s="72">
        <v>1.3</v>
      </c>
      <c r="K197" s="2">
        <f t="shared" si="22"/>
        <v>0</v>
      </c>
    </row>
    <row r="198" spans="1:11" ht="30.75">
      <c r="A198" s="98" t="s">
        <v>162</v>
      </c>
      <c r="B198" s="77">
        <v>0</v>
      </c>
      <c r="C198" s="56">
        <v>0</v>
      </c>
      <c r="D198" s="56">
        <v>0</v>
      </c>
      <c r="E198" s="56">
        <v>0</v>
      </c>
      <c r="F198" s="56">
        <v>0</v>
      </c>
      <c r="G198" s="56"/>
      <c r="H198" s="56"/>
      <c r="I198" s="56"/>
      <c r="J198" s="56">
        <v>0</v>
      </c>
      <c r="K198" s="2">
        <f t="shared" si="22"/>
        <v>0</v>
      </c>
    </row>
    <row r="199" spans="1:11" ht="18">
      <c r="A199" s="13" t="s">
        <v>163</v>
      </c>
      <c r="B199" s="77">
        <v>2111.762</v>
      </c>
      <c r="C199" s="56">
        <v>3994</v>
      </c>
      <c r="D199" s="56">
        <v>28614</v>
      </c>
      <c r="E199" s="56">
        <v>28614</v>
      </c>
      <c r="F199" s="56">
        <v>40531</v>
      </c>
      <c r="G199" s="56"/>
      <c r="H199" s="56"/>
      <c r="I199" s="56"/>
      <c r="J199" s="56">
        <v>40531</v>
      </c>
      <c r="K199" s="2">
        <f t="shared" si="22"/>
        <v>0</v>
      </c>
    </row>
    <row r="200" spans="1:11" ht="18">
      <c r="A200" s="90" t="s">
        <v>164</v>
      </c>
      <c r="B200" s="99"/>
      <c r="C200" s="56"/>
      <c r="D200" s="56"/>
      <c r="E200" s="56"/>
      <c r="F200" s="56"/>
      <c r="G200" s="56"/>
      <c r="H200" s="56"/>
      <c r="I200" s="56"/>
      <c r="J200" s="56"/>
      <c r="K200" s="2">
        <f t="shared" si="22"/>
        <v>0</v>
      </c>
    </row>
    <row r="201" spans="1:11" ht="18">
      <c r="A201" s="90" t="s">
        <v>165</v>
      </c>
      <c r="B201" s="100"/>
      <c r="C201" s="56"/>
      <c r="D201" s="56"/>
      <c r="E201" s="56"/>
      <c r="F201" s="56"/>
      <c r="G201" s="56"/>
      <c r="H201" s="56"/>
      <c r="I201" s="56"/>
      <c r="J201" s="56"/>
      <c r="K201" s="2">
        <f t="shared" si="22"/>
        <v>0</v>
      </c>
    </row>
    <row r="202" spans="1:11" ht="18">
      <c r="A202" s="101"/>
      <c r="B202" s="102"/>
      <c r="C202" s="56"/>
      <c r="D202" s="56"/>
      <c r="E202" s="56"/>
      <c r="F202" s="57"/>
      <c r="G202" s="56"/>
      <c r="H202" s="56"/>
      <c r="I202" s="56"/>
      <c r="J202" s="57"/>
      <c r="K202" s="2">
        <f t="shared" si="22"/>
        <v>0</v>
      </c>
    </row>
    <row r="203" spans="1:11" ht="18">
      <c r="A203" s="61" t="s">
        <v>166</v>
      </c>
      <c r="B203" s="77">
        <v>2409.79</v>
      </c>
      <c r="C203" s="56">
        <v>4039</v>
      </c>
      <c r="D203" s="56">
        <v>4119</v>
      </c>
      <c r="E203" s="56">
        <v>4119</v>
      </c>
      <c r="F203" s="57">
        <f>ROUND(1411784*F15/1000,0)</f>
        <v>4024</v>
      </c>
      <c r="G203" s="57">
        <f>ROUND(1495641*G15/1000,0)</f>
        <v>4233</v>
      </c>
      <c r="H203" s="57">
        <f>ROUND(1583882*H15/1000,0)</f>
        <v>4467</v>
      </c>
      <c r="I203" s="57">
        <f>ROUND(1677725*I15/1000,0)</f>
        <v>4798</v>
      </c>
      <c r="J203" s="57">
        <f>ROUND(1411784*J15/1000,0)</f>
        <v>4024</v>
      </c>
      <c r="K203" s="2">
        <f t="shared" si="22"/>
        <v>0</v>
      </c>
    </row>
    <row r="204" spans="1:11" ht="18">
      <c r="A204" s="61"/>
      <c r="B204" s="77"/>
      <c r="C204" s="56"/>
      <c r="D204" s="56"/>
      <c r="E204" s="56"/>
      <c r="F204" s="56"/>
      <c r="G204" s="56"/>
      <c r="H204" s="56"/>
      <c r="I204" s="56"/>
      <c r="J204" s="56"/>
      <c r="K204" s="2">
        <f t="shared" si="22"/>
        <v>0</v>
      </c>
    </row>
    <row r="205" spans="1:11" ht="18">
      <c r="A205" s="61" t="s">
        <v>167</v>
      </c>
      <c r="B205" s="79">
        <f>100.736+5028.873</f>
        <v>5129.6089999999995</v>
      </c>
      <c r="C205" s="56">
        <f>C206+C211</f>
        <v>17313</v>
      </c>
      <c r="D205" s="56">
        <f>D206+D211</f>
        <v>17313</v>
      </c>
      <c r="E205" s="56">
        <f>E206+E211</f>
        <v>17813</v>
      </c>
      <c r="F205" s="56">
        <f>F206+F211</f>
        <v>22234</v>
      </c>
      <c r="G205" s="78">
        <f>F205*G9/100-1009</f>
        <v>22025.424</v>
      </c>
      <c r="H205" s="78">
        <f>G205*H9/100-1</f>
        <v>22685.186719999998</v>
      </c>
      <c r="I205" s="78">
        <f>H205*I9/100+68</f>
        <v>23365.686761439996</v>
      </c>
      <c r="J205" s="56">
        <f>J206+J211</f>
        <v>22234</v>
      </c>
      <c r="K205" s="2">
        <f t="shared" si="22"/>
        <v>0</v>
      </c>
    </row>
    <row r="206" spans="1:11" ht="18">
      <c r="A206" s="32" t="s">
        <v>168</v>
      </c>
      <c r="B206" s="100"/>
      <c r="C206" s="56">
        <f>SUM(C207+C208+C209+C210)</f>
        <v>17313</v>
      </c>
      <c r="D206" s="56">
        <f>SUM(D207+D208+D209+D210)</f>
        <v>17313</v>
      </c>
      <c r="E206" s="56">
        <f>SUM(E207+E208+E209+E210)</f>
        <v>17813</v>
      </c>
      <c r="F206" s="56">
        <f>SUM(F207+F208+F209+F210)</f>
        <v>18777</v>
      </c>
      <c r="G206" s="56"/>
      <c r="H206" s="56"/>
      <c r="I206" s="56"/>
      <c r="J206" s="56">
        <f>SUM(J207+J208+J209+J210)</f>
        <v>18777</v>
      </c>
      <c r="K206" s="2">
        <f t="shared" si="22"/>
        <v>0</v>
      </c>
    </row>
    <row r="207" spans="1:11" ht="18">
      <c r="A207" s="32" t="s">
        <v>169</v>
      </c>
      <c r="B207" s="100"/>
      <c r="C207" s="56">
        <v>4764</v>
      </c>
      <c r="D207" s="56">
        <v>13786</v>
      </c>
      <c r="E207" s="56">
        <v>13786</v>
      </c>
      <c r="F207" s="56">
        <v>9954</v>
      </c>
      <c r="G207" s="56"/>
      <c r="H207" s="56"/>
      <c r="I207" s="56"/>
      <c r="J207" s="56">
        <v>9954</v>
      </c>
      <c r="K207" s="2">
        <f t="shared" si="22"/>
        <v>0</v>
      </c>
    </row>
    <row r="208" spans="1:11" ht="30.75">
      <c r="A208" s="31" t="s">
        <v>170</v>
      </c>
      <c r="B208" s="100"/>
      <c r="C208" s="56">
        <v>279</v>
      </c>
      <c r="D208" s="56">
        <v>279</v>
      </c>
      <c r="E208" s="56">
        <v>279</v>
      </c>
      <c r="F208" s="56">
        <v>292</v>
      </c>
      <c r="G208" s="56"/>
      <c r="H208" s="56"/>
      <c r="I208" s="56"/>
      <c r="J208" s="56">
        <v>292</v>
      </c>
      <c r="K208" s="2">
        <f t="shared" si="22"/>
        <v>0</v>
      </c>
    </row>
    <row r="209" spans="1:11" ht="30.75">
      <c r="A209" s="31" t="s">
        <v>171</v>
      </c>
      <c r="B209" s="100"/>
      <c r="C209" s="56">
        <v>7092</v>
      </c>
      <c r="D209" s="56">
        <v>866</v>
      </c>
      <c r="E209" s="56">
        <v>1366</v>
      </c>
      <c r="F209" s="56">
        <v>7531</v>
      </c>
      <c r="G209" s="56"/>
      <c r="H209" s="56"/>
      <c r="I209" s="56"/>
      <c r="J209" s="56">
        <v>7531</v>
      </c>
      <c r="K209" s="2">
        <f t="shared" si="22"/>
        <v>0</v>
      </c>
    </row>
    <row r="210" spans="1:11" ht="18">
      <c r="A210" s="32" t="s">
        <v>172</v>
      </c>
      <c r="B210" s="100"/>
      <c r="C210" s="56">
        <v>5178</v>
      </c>
      <c r="D210" s="56">
        <v>2382</v>
      </c>
      <c r="E210" s="56">
        <v>2382</v>
      </c>
      <c r="F210" s="56">
        <v>1000</v>
      </c>
      <c r="G210" s="56"/>
      <c r="H210" s="56"/>
      <c r="I210" s="56"/>
      <c r="J210" s="56">
        <v>1000</v>
      </c>
      <c r="K210" s="2">
        <f t="shared" si="22"/>
        <v>0</v>
      </c>
    </row>
    <row r="211" spans="1:11" ht="18">
      <c r="A211" s="32" t="s">
        <v>173</v>
      </c>
      <c r="B211" s="100"/>
      <c r="C211" s="56">
        <v>0</v>
      </c>
      <c r="D211" s="56">
        <v>0</v>
      </c>
      <c r="E211" s="56">
        <v>0</v>
      </c>
      <c r="F211" s="56">
        <v>3457</v>
      </c>
      <c r="G211" s="56"/>
      <c r="H211" s="56"/>
      <c r="I211" s="56"/>
      <c r="J211" s="56">
        <v>3457</v>
      </c>
      <c r="K211" s="2">
        <f t="shared" si="22"/>
        <v>0</v>
      </c>
    </row>
    <row r="212" spans="1:11" ht="18">
      <c r="A212" s="32" t="s">
        <v>174</v>
      </c>
      <c r="B212" s="100"/>
      <c r="C212" s="56"/>
      <c r="D212" s="56"/>
      <c r="E212" s="56"/>
      <c r="F212" s="56"/>
      <c r="G212" s="56"/>
      <c r="H212" s="56"/>
      <c r="I212" s="56"/>
      <c r="J212" s="56"/>
      <c r="K212" s="2">
        <f t="shared" si="22"/>
        <v>0</v>
      </c>
    </row>
    <row r="213" spans="1:11" ht="18">
      <c r="A213" s="32" t="s">
        <v>175</v>
      </c>
      <c r="B213" s="100"/>
      <c r="C213" s="56"/>
      <c r="D213" s="56"/>
      <c r="E213" s="56"/>
      <c r="F213" s="56"/>
      <c r="G213" s="56"/>
      <c r="H213" s="56"/>
      <c r="I213" s="56"/>
      <c r="J213" s="56"/>
      <c r="K213" s="2">
        <f t="shared" si="22"/>
        <v>0</v>
      </c>
    </row>
    <row r="214" spans="1:11" ht="18">
      <c r="A214" s="32" t="s">
        <v>176</v>
      </c>
      <c r="B214" s="100"/>
      <c r="C214" s="56"/>
      <c r="D214" s="56"/>
      <c r="E214" s="56"/>
      <c r="F214" s="56"/>
      <c r="G214" s="56"/>
      <c r="H214" s="56"/>
      <c r="I214" s="56"/>
      <c r="J214" s="56"/>
      <c r="K214" s="2">
        <f t="shared" si="22"/>
        <v>0</v>
      </c>
    </row>
    <row r="215" spans="1:11" ht="18">
      <c r="A215" s="32"/>
      <c r="B215" s="100"/>
      <c r="C215" s="56"/>
      <c r="D215" s="56"/>
      <c r="E215" s="56"/>
      <c r="F215" s="56"/>
      <c r="G215" s="56"/>
      <c r="H215" s="56"/>
      <c r="I215" s="56"/>
      <c r="J215" s="56"/>
      <c r="K215" s="2">
        <f t="shared" si="22"/>
        <v>0</v>
      </c>
    </row>
    <row r="216" spans="1:11" ht="31.5">
      <c r="A216" s="76" t="s">
        <v>177</v>
      </c>
      <c r="B216" s="77">
        <v>1430.807</v>
      </c>
      <c r="C216" s="56">
        <v>2187</v>
      </c>
      <c r="D216" s="56">
        <v>2330</v>
      </c>
      <c r="E216" s="56">
        <v>2330</v>
      </c>
      <c r="F216" s="77">
        <f>ROUND(+801201*F15/1000,0)</f>
        <v>2283</v>
      </c>
      <c r="G216" s="77">
        <f>ROUND(+837591*G15/1000,0)</f>
        <v>2370</v>
      </c>
      <c r="H216" s="77">
        <f>ROUND(+778414*H15/1000,0)</f>
        <v>2195</v>
      </c>
      <c r="I216" s="77">
        <f>ROUND(+740300*I15/1000,0)</f>
        <v>2117</v>
      </c>
      <c r="J216" s="77">
        <f>ROUND(+801201*J15/1000,0)</f>
        <v>2283</v>
      </c>
      <c r="K216" s="2">
        <f t="shared" si="22"/>
        <v>0</v>
      </c>
    </row>
    <row r="217" spans="1:11" ht="18">
      <c r="A217" s="32"/>
      <c r="B217" s="79"/>
      <c r="C217" s="56"/>
      <c r="D217" s="56"/>
      <c r="E217" s="56"/>
      <c r="F217" s="56"/>
      <c r="G217" s="56"/>
      <c r="H217" s="56"/>
      <c r="I217" s="56"/>
      <c r="J217" s="56"/>
      <c r="K217" s="2">
        <f t="shared" si="22"/>
        <v>0</v>
      </c>
    </row>
    <row r="218" spans="1:11" ht="18">
      <c r="A218" s="25" t="s">
        <v>178</v>
      </c>
      <c r="B218" s="79">
        <v>46180.2</v>
      </c>
      <c r="C218" s="56">
        <v>40189</v>
      </c>
      <c r="D218" s="56">
        <v>40189</v>
      </c>
      <c r="E218" s="56">
        <v>30441</v>
      </c>
      <c r="F218" s="56">
        <v>41514</v>
      </c>
      <c r="G218" s="56">
        <v>41514</v>
      </c>
      <c r="H218" s="56">
        <v>41514</v>
      </c>
      <c r="I218" s="56">
        <v>41514</v>
      </c>
      <c r="J218" s="56">
        <v>41514</v>
      </c>
      <c r="K218" s="2">
        <f t="shared" si="22"/>
        <v>0</v>
      </c>
    </row>
    <row r="219" spans="1:11" ht="18">
      <c r="A219" s="25"/>
      <c r="B219" s="100"/>
      <c r="C219" s="56"/>
      <c r="D219" s="56"/>
      <c r="E219" s="56"/>
      <c r="F219" s="56"/>
      <c r="G219" s="56"/>
      <c r="H219" s="56"/>
      <c r="I219" s="56"/>
      <c r="J219" s="56"/>
      <c r="K219" s="2"/>
    </row>
    <row r="220" spans="1:11" ht="18">
      <c r="A220" s="25"/>
      <c r="B220" s="100"/>
      <c r="C220" s="56"/>
      <c r="D220" s="56"/>
      <c r="E220" s="56"/>
      <c r="F220" s="56"/>
      <c r="G220" s="56"/>
      <c r="H220" s="56"/>
      <c r="I220" s="56"/>
      <c r="J220" s="56"/>
      <c r="K220" s="2"/>
    </row>
    <row r="221" spans="1:11" ht="18">
      <c r="A221" s="25"/>
      <c r="B221" s="100"/>
      <c r="C221" s="56"/>
      <c r="D221" s="56"/>
      <c r="E221" s="56"/>
      <c r="F221" s="56"/>
      <c r="G221" s="56"/>
      <c r="H221" s="56"/>
      <c r="I221" s="56"/>
      <c r="J221" s="56"/>
      <c r="K221" s="2"/>
    </row>
    <row r="222" spans="1:11" ht="47.25">
      <c r="A222" s="103" t="s">
        <v>179</v>
      </c>
      <c r="B222" s="104">
        <f aca="true" t="shared" si="23" ref="B222:J222">SUM(B224+B238+B243+B248+B254+B259+B265+B270+B273+B277)</f>
        <v>10131.331</v>
      </c>
      <c r="C222" s="104">
        <f t="shared" si="23"/>
        <v>103521.81399200001</v>
      </c>
      <c r="D222" s="104">
        <f t="shared" si="23"/>
        <v>104271.81399200001</v>
      </c>
      <c r="E222" s="104">
        <f t="shared" si="23"/>
        <v>30772.296</v>
      </c>
      <c r="F222" s="104">
        <f t="shared" si="23"/>
        <v>105366.64000000001</v>
      </c>
      <c r="G222" s="104">
        <f t="shared" si="23"/>
        <v>120438.832</v>
      </c>
      <c r="H222" s="104">
        <f t="shared" si="23"/>
        <v>127598.09195999999</v>
      </c>
      <c r="I222" s="104">
        <f t="shared" si="23"/>
        <v>135702.20744492</v>
      </c>
      <c r="J222" s="104">
        <f t="shared" si="23"/>
        <v>105677.97511</v>
      </c>
      <c r="K222" s="2">
        <f aca="true" t="shared" si="24" ref="K222:K253">J222-F222</f>
        <v>311.33510999998543</v>
      </c>
    </row>
    <row r="223" spans="1:11" ht="18">
      <c r="A223" s="105"/>
      <c r="B223" s="57"/>
      <c r="C223" s="56"/>
      <c r="D223" s="56"/>
      <c r="E223" s="56"/>
      <c r="F223" s="56"/>
      <c r="G223" s="56"/>
      <c r="H223" s="56"/>
      <c r="I223" s="56"/>
      <c r="J223" s="56"/>
      <c r="K223" s="2">
        <f t="shared" si="24"/>
        <v>0</v>
      </c>
    </row>
    <row r="224" spans="1:11" ht="110.25">
      <c r="A224" s="76" t="s">
        <v>180</v>
      </c>
      <c r="B224" s="77">
        <v>4748.091</v>
      </c>
      <c r="C224" s="56">
        <f>C225+C233</f>
        <v>36900.2</v>
      </c>
      <c r="D224" s="57">
        <f>D225+D233</f>
        <v>36900.2</v>
      </c>
      <c r="E224" s="57">
        <f>E225+E233-0.25</f>
        <v>3196</v>
      </c>
      <c r="F224" s="57">
        <f>F225+F233</f>
        <v>38339.66</v>
      </c>
      <c r="G224" s="56">
        <f>G225+G233</f>
        <v>44643</v>
      </c>
      <c r="H224" s="56">
        <f>H225+H233</f>
        <v>48379</v>
      </c>
      <c r="I224" s="56">
        <f>I225+I233</f>
        <v>52204.35</v>
      </c>
      <c r="J224" s="57">
        <f>J225+J233+J236</f>
        <v>38650.99511</v>
      </c>
      <c r="K224" s="2">
        <f t="shared" si="24"/>
        <v>311.33511</v>
      </c>
    </row>
    <row r="225" spans="1:11" ht="60.75">
      <c r="A225" s="106" t="s">
        <v>181</v>
      </c>
      <c r="B225" s="56">
        <f>B224-B233</f>
        <v>4494.227000000001</v>
      </c>
      <c r="C225" s="56">
        <f>ROUND(C227*C228+C229*C230/1000*3+C231*C232/1000*3,2)</f>
        <v>35284.2</v>
      </c>
      <c r="D225" s="56">
        <f>ROUND(D227*D228+D229*D230/1000*3+D231*D232/1000*3,2)</f>
        <v>35284.2</v>
      </c>
      <c r="E225" s="56">
        <f>ROUND(E227*E228+E229*E230/1000*3+E231*E232/1000*3,2)-21</f>
        <v>1580.25</v>
      </c>
      <c r="F225" s="73">
        <f>ROUND(F227*F228+F229*F230/1000*3+F231*F232/1000*3,2)-1</f>
        <v>36627.66</v>
      </c>
      <c r="G225" s="107">
        <f>ROUND(G227*G228+G229*G230/1000*3+G231*G232/1000*3,2)+21</f>
        <v>43155</v>
      </c>
      <c r="H225" s="108">
        <f>ROUND(H227*H228+H229*H230/1000*3+H231*H232/1000*3,2)-30</f>
        <v>47123</v>
      </c>
      <c r="I225" s="108">
        <f>ROUND(I227*I228+I229*I230/1000*3+I231*I232/1000*3,2)+58</f>
        <v>50916.4</v>
      </c>
      <c r="J225" s="73">
        <f>ROUND(J227*J228+J229*J230/1000*3+J231*J232/1000*3,2)-1</f>
        <v>36627.66</v>
      </c>
      <c r="K225" s="2">
        <f t="shared" si="24"/>
        <v>0</v>
      </c>
    </row>
    <row r="226" spans="1:11" ht="60.75">
      <c r="A226" s="30" t="s">
        <v>182</v>
      </c>
      <c r="B226" s="56"/>
      <c r="C226" s="57"/>
      <c r="D226" s="57"/>
      <c r="E226" s="57"/>
      <c r="F226" s="57"/>
      <c r="G226" s="57"/>
      <c r="H226" s="57"/>
      <c r="I226" s="57"/>
      <c r="J226" s="57"/>
      <c r="K226" s="2">
        <f t="shared" si="24"/>
        <v>0</v>
      </c>
    </row>
    <row r="227" spans="1:11" ht="30.75">
      <c r="A227" s="31" t="s">
        <v>183</v>
      </c>
      <c r="B227" s="56"/>
      <c r="C227" s="56">
        <f>C27</f>
        <v>800</v>
      </c>
      <c r="D227" s="56">
        <f>D27</f>
        <v>800</v>
      </c>
      <c r="E227" s="56">
        <v>20</v>
      </c>
      <c r="F227" s="56">
        <f>F27</f>
        <v>748</v>
      </c>
      <c r="G227" s="56">
        <f>G27</f>
        <v>800</v>
      </c>
      <c r="H227" s="56">
        <f>H27</f>
        <v>800</v>
      </c>
      <c r="I227" s="56">
        <f>I27</f>
        <v>795</v>
      </c>
      <c r="J227" s="57">
        <f>J27</f>
        <v>748</v>
      </c>
      <c r="K227" s="2">
        <f t="shared" si="24"/>
        <v>0</v>
      </c>
    </row>
    <row r="228" spans="1:11" ht="18">
      <c r="A228" s="32" t="s">
        <v>184</v>
      </c>
      <c r="B228" s="56"/>
      <c r="C228" s="56">
        <f aca="true" t="shared" si="25" ref="C228:J228">ROUND(C13*80/21.25/100,2)</f>
        <v>40.11</v>
      </c>
      <c r="D228" s="56">
        <f t="shared" si="25"/>
        <v>40.11</v>
      </c>
      <c r="E228" s="56">
        <f t="shared" si="25"/>
        <v>40.11</v>
      </c>
      <c r="F228" s="56">
        <f t="shared" si="25"/>
        <v>47.81</v>
      </c>
      <c r="G228" s="71">
        <f t="shared" si="25"/>
        <v>52.71</v>
      </c>
      <c r="H228" s="109">
        <f t="shared" si="25"/>
        <v>57.79</v>
      </c>
      <c r="I228" s="109">
        <f t="shared" si="25"/>
        <v>62.87</v>
      </c>
      <c r="J228" s="56">
        <f t="shared" si="25"/>
        <v>47.81</v>
      </c>
      <c r="K228" s="2">
        <f t="shared" si="24"/>
        <v>0</v>
      </c>
    </row>
    <row r="229" spans="1:11" ht="30.75">
      <c r="A229" s="31" t="s">
        <v>185</v>
      </c>
      <c r="B229" s="56"/>
      <c r="C229" s="56">
        <f>C28</f>
        <v>2000</v>
      </c>
      <c r="D229" s="56">
        <f>D28</f>
        <v>2000</v>
      </c>
      <c r="E229" s="56">
        <v>500</v>
      </c>
      <c r="F229" s="56">
        <f>F28</f>
        <v>455</v>
      </c>
      <c r="G229" s="56">
        <f>G28</f>
        <v>460</v>
      </c>
      <c r="H229" s="56">
        <f>H28</f>
        <v>400</v>
      </c>
      <c r="I229" s="56">
        <f>I28</f>
        <v>350</v>
      </c>
      <c r="J229" s="56">
        <f>J28</f>
        <v>455</v>
      </c>
      <c r="K229" s="2">
        <f t="shared" si="24"/>
        <v>0</v>
      </c>
    </row>
    <row r="230" spans="1:11" ht="18">
      <c r="A230" s="32" t="s">
        <v>186</v>
      </c>
      <c r="B230" s="56"/>
      <c r="C230" s="56">
        <f aca="true" t="shared" si="26" ref="C230:J230">ROUND(C13*25/100,2)</f>
        <v>266.35</v>
      </c>
      <c r="D230" s="56">
        <f t="shared" si="26"/>
        <v>266.35</v>
      </c>
      <c r="E230" s="56">
        <f t="shared" si="26"/>
        <v>266.35</v>
      </c>
      <c r="F230" s="56">
        <f t="shared" si="26"/>
        <v>317.5</v>
      </c>
      <c r="G230" s="56">
        <f t="shared" si="26"/>
        <v>350</v>
      </c>
      <c r="H230" s="56">
        <f t="shared" si="26"/>
        <v>383.75</v>
      </c>
      <c r="I230" s="56">
        <f t="shared" si="26"/>
        <v>417.5</v>
      </c>
      <c r="J230" s="56">
        <f t="shared" si="26"/>
        <v>317.5</v>
      </c>
      <c r="K230" s="2">
        <f t="shared" si="24"/>
        <v>0</v>
      </c>
    </row>
    <row r="231" spans="1:11" ht="30.75">
      <c r="A231" s="31" t="s">
        <v>187</v>
      </c>
      <c r="B231" s="56"/>
      <c r="C231" s="56">
        <f>C29</f>
        <v>2000</v>
      </c>
      <c r="D231" s="56">
        <f>D29</f>
        <v>2000</v>
      </c>
      <c r="E231" s="56">
        <v>500</v>
      </c>
      <c r="F231" s="56">
        <f>F29</f>
        <v>455</v>
      </c>
      <c r="G231" s="56">
        <f>G29</f>
        <v>460</v>
      </c>
      <c r="H231" s="56">
        <f>H29</f>
        <v>400</v>
      </c>
      <c r="I231" s="56">
        <f>I29</f>
        <v>350</v>
      </c>
      <c r="J231" s="56">
        <f>J29</f>
        <v>455</v>
      </c>
      <c r="K231" s="2">
        <f t="shared" si="24"/>
        <v>0</v>
      </c>
    </row>
    <row r="232" spans="1:11" ht="18">
      <c r="A232" s="32" t="s">
        <v>188</v>
      </c>
      <c r="B232" s="56"/>
      <c r="C232" s="56">
        <f aca="true" t="shared" si="27" ref="C232:J232">ROUND(C13*25/100,2)</f>
        <v>266.35</v>
      </c>
      <c r="D232" s="56">
        <f t="shared" si="27"/>
        <v>266.35</v>
      </c>
      <c r="E232" s="56">
        <f t="shared" si="27"/>
        <v>266.35</v>
      </c>
      <c r="F232" s="56">
        <f t="shared" si="27"/>
        <v>317.5</v>
      </c>
      <c r="G232" s="56">
        <f t="shared" si="27"/>
        <v>350</v>
      </c>
      <c r="H232" s="56">
        <f t="shared" si="27"/>
        <v>383.75</v>
      </c>
      <c r="I232" s="56">
        <f t="shared" si="27"/>
        <v>417.5</v>
      </c>
      <c r="J232" s="56">
        <f t="shared" si="27"/>
        <v>317.5</v>
      </c>
      <c r="K232" s="2">
        <f t="shared" si="24"/>
        <v>0</v>
      </c>
    </row>
    <row r="233" spans="1:11" ht="60.75">
      <c r="A233" s="110" t="s">
        <v>189</v>
      </c>
      <c r="B233" s="77">
        <v>253.864</v>
      </c>
      <c r="C233" s="56">
        <f aca="true" t="shared" si="28" ref="C233:H233">C234*C235</f>
        <v>1616</v>
      </c>
      <c r="D233" s="56">
        <f t="shared" si="28"/>
        <v>1616</v>
      </c>
      <c r="E233" s="56">
        <f t="shared" si="28"/>
        <v>1616</v>
      </c>
      <c r="F233" s="56">
        <f t="shared" si="28"/>
        <v>1712</v>
      </c>
      <c r="G233" s="56">
        <f t="shared" si="28"/>
        <v>1488</v>
      </c>
      <c r="H233" s="56">
        <f t="shared" si="28"/>
        <v>1256</v>
      </c>
      <c r="I233" s="111">
        <f>I234*I235+8</f>
        <v>1287.95</v>
      </c>
      <c r="J233" s="56">
        <f>J234*J235</f>
        <v>1712</v>
      </c>
      <c r="K233" s="2">
        <f t="shared" si="24"/>
        <v>0</v>
      </c>
    </row>
    <row r="234" spans="1:11" ht="18">
      <c r="A234" s="32" t="s">
        <v>48</v>
      </c>
      <c r="B234" s="56"/>
      <c r="C234" s="56">
        <f>C227</f>
        <v>800</v>
      </c>
      <c r="D234" s="56">
        <f>D227</f>
        <v>800</v>
      </c>
      <c r="E234" s="56">
        <v>800</v>
      </c>
      <c r="F234" s="56">
        <v>800</v>
      </c>
      <c r="G234" s="56">
        <f>G227</f>
        <v>800</v>
      </c>
      <c r="H234" s="56">
        <f>H227</f>
        <v>800</v>
      </c>
      <c r="I234" s="56">
        <f>I227</f>
        <v>795</v>
      </c>
      <c r="J234" s="56">
        <v>800</v>
      </c>
      <c r="K234" s="2">
        <f t="shared" si="24"/>
        <v>0</v>
      </c>
    </row>
    <row r="235" spans="1:11" ht="18">
      <c r="A235" s="32" t="s">
        <v>190</v>
      </c>
      <c r="B235" s="56"/>
      <c r="C235" s="72">
        <f>ROUND(C14*2*0.065/21.25,2)</f>
        <v>2.02</v>
      </c>
      <c r="D235" s="72">
        <f>ROUND(D14*2*0.065/21.25,2)</f>
        <v>2.02</v>
      </c>
      <c r="E235" s="72">
        <f>ROUND(E14*2*0.065/21.25,2)</f>
        <v>2.02</v>
      </c>
      <c r="F235" s="72">
        <f>ROUND(F14*2*0.065/21.25,2)</f>
        <v>2.14</v>
      </c>
      <c r="G235" s="72">
        <f>ROUND(G14*2*0.055/21.25,2)</f>
        <v>1.86</v>
      </c>
      <c r="H235" s="72">
        <f>ROUND(H14*2*0.045/21.25,2)</f>
        <v>1.57</v>
      </c>
      <c r="I235" s="72">
        <f>ROUND(I14*2*0.045/21.25,2)</f>
        <v>1.61</v>
      </c>
      <c r="J235" s="112">
        <f>ROUND(F14*2*0.065/21.25,2)</f>
        <v>2.14</v>
      </c>
      <c r="K235" s="2">
        <f t="shared" si="24"/>
        <v>0</v>
      </c>
    </row>
    <row r="236" spans="1:11" ht="60.75">
      <c r="A236" s="113" t="s">
        <v>191</v>
      </c>
      <c r="B236" s="56"/>
      <c r="C236" s="72"/>
      <c r="D236" s="72"/>
      <c r="E236" s="72"/>
      <c r="F236" s="57">
        <v>0</v>
      </c>
      <c r="G236" s="72"/>
      <c r="H236" s="72"/>
      <c r="I236" s="72"/>
      <c r="J236" s="114">
        <f>SUM(J225*0.85/100)</f>
        <v>311.33511000000004</v>
      </c>
      <c r="K236" s="2">
        <f t="shared" si="24"/>
        <v>311.33511000000004</v>
      </c>
    </row>
    <row r="237" spans="1:11" ht="18">
      <c r="A237" s="115"/>
      <c r="B237" s="56"/>
      <c r="C237" s="56"/>
      <c r="D237" s="56"/>
      <c r="E237" s="56"/>
      <c r="F237" s="56"/>
      <c r="G237" s="56"/>
      <c r="H237" s="56"/>
      <c r="I237" s="56"/>
      <c r="J237" s="56"/>
      <c r="K237" s="2">
        <f t="shared" si="24"/>
        <v>0</v>
      </c>
    </row>
    <row r="238" spans="1:11" ht="18">
      <c r="A238" s="116" t="s">
        <v>192</v>
      </c>
      <c r="B238" s="77">
        <v>439.712</v>
      </c>
      <c r="C238" s="56">
        <f>ROUND(C240*C241/1000,2)</f>
        <v>2130.8</v>
      </c>
      <c r="D238" s="56">
        <f>ROUND(D240*D241/1000,2)</f>
        <v>2130.8</v>
      </c>
      <c r="E238" s="57">
        <f>ROUND(E240*E241/1000,2)-1.48</f>
        <v>1000</v>
      </c>
      <c r="F238" s="111">
        <f>ROUND(F240*F241/1000,2)-38</f>
        <v>2400.4</v>
      </c>
      <c r="G238" s="107">
        <f>ROUND(G240*G241/1000,2)-50</f>
        <v>2638</v>
      </c>
      <c r="H238" s="117">
        <f>ROUND(H240*H241/1000,2)-6</f>
        <v>2879.8</v>
      </c>
      <c r="I238" s="108">
        <f>ROUND(I240*I241/1000,2)-1</f>
        <v>3145.28</v>
      </c>
      <c r="J238" s="111">
        <f>ROUND(J240*J241/1000,2)-38</f>
        <v>2400.4</v>
      </c>
      <c r="K238" s="2">
        <f t="shared" si="24"/>
        <v>0</v>
      </c>
    </row>
    <row r="239" spans="1:11" ht="18">
      <c r="A239" s="115" t="s">
        <v>193</v>
      </c>
      <c r="B239" s="56"/>
      <c r="C239" s="56"/>
      <c r="D239" s="56"/>
      <c r="E239" s="56"/>
      <c r="F239" s="56"/>
      <c r="G239" s="56"/>
      <c r="H239" s="56"/>
      <c r="I239" s="56"/>
      <c r="J239" s="56"/>
      <c r="K239" s="2">
        <f t="shared" si="24"/>
        <v>0</v>
      </c>
    </row>
    <row r="240" spans="1:11" ht="18">
      <c r="A240" s="32" t="s">
        <v>194</v>
      </c>
      <c r="B240" s="56"/>
      <c r="C240" s="56">
        <f>C30</f>
        <v>500</v>
      </c>
      <c r="D240" s="56">
        <f>D30</f>
        <v>500</v>
      </c>
      <c r="E240" s="56">
        <v>235</v>
      </c>
      <c r="F240" s="56">
        <f>F30</f>
        <v>480</v>
      </c>
      <c r="G240" s="56">
        <f>G30</f>
        <v>480</v>
      </c>
      <c r="H240" s="56">
        <f>H30</f>
        <v>470</v>
      </c>
      <c r="I240" s="56">
        <f>I30</f>
        <v>471</v>
      </c>
      <c r="J240" s="56">
        <f>J30</f>
        <v>480</v>
      </c>
      <c r="K240" s="2">
        <f t="shared" si="24"/>
        <v>0</v>
      </c>
    </row>
    <row r="241" spans="1:11" ht="18">
      <c r="A241" s="32" t="s">
        <v>63</v>
      </c>
      <c r="B241" s="56"/>
      <c r="C241" s="56">
        <f aca="true" t="shared" si="29" ref="C241:J241">ROUND(C13*4,2)</f>
        <v>4261.6</v>
      </c>
      <c r="D241" s="56">
        <f t="shared" si="29"/>
        <v>4261.6</v>
      </c>
      <c r="E241" s="56">
        <f t="shared" si="29"/>
        <v>4261.6</v>
      </c>
      <c r="F241" s="56">
        <f t="shared" si="29"/>
        <v>5080</v>
      </c>
      <c r="G241" s="56">
        <f t="shared" si="29"/>
        <v>5600</v>
      </c>
      <c r="H241" s="56">
        <f t="shared" si="29"/>
        <v>6140</v>
      </c>
      <c r="I241" s="56">
        <f t="shared" si="29"/>
        <v>6680</v>
      </c>
      <c r="J241" s="56">
        <f t="shared" si="29"/>
        <v>5080</v>
      </c>
      <c r="K241" s="2">
        <f t="shared" si="24"/>
        <v>0</v>
      </c>
    </row>
    <row r="242" spans="1:11" ht="18">
      <c r="A242" s="32"/>
      <c r="B242" s="56"/>
      <c r="C242" s="56"/>
      <c r="D242" s="56"/>
      <c r="E242" s="56"/>
      <c r="F242" s="56"/>
      <c r="G242" s="56"/>
      <c r="H242" s="56"/>
      <c r="I242" s="56"/>
      <c r="J242" s="56"/>
      <c r="K242" s="2">
        <f t="shared" si="24"/>
        <v>0</v>
      </c>
    </row>
    <row r="243" spans="1:11" ht="18">
      <c r="A243" s="116" t="s">
        <v>195</v>
      </c>
      <c r="B243" s="56">
        <v>0</v>
      </c>
      <c r="C243" s="56">
        <f>C245*C246</f>
        <v>4188</v>
      </c>
      <c r="D243" s="57">
        <f>D245*D246</f>
        <v>4188</v>
      </c>
      <c r="E243" s="72">
        <f>E245*E246</f>
        <v>231.73600000000002</v>
      </c>
      <c r="F243" s="56">
        <f>F245*F246</f>
        <v>4789.9800000000005</v>
      </c>
      <c r="G243" s="56">
        <f>G245*G246</f>
        <v>5304</v>
      </c>
      <c r="H243" s="73">
        <f>H245*H246+0.3</f>
        <v>5460.3</v>
      </c>
      <c r="I243" s="56">
        <f>I245*I246</f>
        <v>5628</v>
      </c>
      <c r="J243" s="56">
        <f>J245*J246</f>
        <v>4789.9800000000005</v>
      </c>
      <c r="K243" s="2">
        <f t="shared" si="24"/>
        <v>0</v>
      </c>
    </row>
    <row r="244" spans="1:11" ht="18">
      <c r="A244" s="115" t="s">
        <v>196</v>
      </c>
      <c r="B244" s="56"/>
      <c r="C244" s="56"/>
      <c r="D244" s="56"/>
      <c r="E244" s="56"/>
      <c r="F244" s="56"/>
      <c r="G244" s="56"/>
      <c r="H244" s="56"/>
      <c r="I244" s="56"/>
      <c r="J244" s="56"/>
      <c r="K244" s="2">
        <f t="shared" si="24"/>
        <v>0</v>
      </c>
    </row>
    <row r="245" spans="1:11" ht="18">
      <c r="A245" s="32" t="s">
        <v>197</v>
      </c>
      <c r="B245" s="56"/>
      <c r="C245" s="56">
        <f>C17</f>
        <v>6</v>
      </c>
      <c r="D245" s="56">
        <f>D17</f>
        <v>6</v>
      </c>
      <c r="E245" s="118">
        <v>0.332</v>
      </c>
      <c r="F245" s="56">
        <f>F17</f>
        <v>6</v>
      </c>
      <c r="G245" s="56">
        <f>G17</f>
        <v>6</v>
      </c>
      <c r="H245" s="56">
        <f>H17</f>
        <v>6</v>
      </c>
      <c r="I245" s="56">
        <f>I17</f>
        <v>6</v>
      </c>
      <c r="J245" s="56">
        <f>J17</f>
        <v>6</v>
      </c>
      <c r="K245" s="2">
        <f t="shared" si="24"/>
        <v>0</v>
      </c>
    </row>
    <row r="246" spans="1:11" ht="18">
      <c r="A246" s="32" t="s">
        <v>198</v>
      </c>
      <c r="B246" s="56"/>
      <c r="C246" s="56">
        <f aca="true" t="shared" si="30" ref="C246:J246">C19</f>
        <v>698</v>
      </c>
      <c r="D246" s="56">
        <f t="shared" si="30"/>
        <v>698</v>
      </c>
      <c r="E246" s="56">
        <f t="shared" si="30"/>
        <v>698</v>
      </c>
      <c r="F246" s="71">
        <f t="shared" si="30"/>
        <v>798.33</v>
      </c>
      <c r="G246" s="56">
        <f t="shared" si="30"/>
        <v>884</v>
      </c>
      <c r="H246" s="56">
        <f t="shared" si="30"/>
        <v>910</v>
      </c>
      <c r="I246" s="56">
        <f t="shared" si="30"/>
        <v>938</v>
      </c>
      <c r="J246" s="71">
        <f t="shared" si="30"/>
        <v>798.33</v>
      </c>
      <c r="K246" s="2">
        <f t="shared" si="24"/>
        <v>0</v>
      </c>
    </row>
    <row r="247" spans="1:11" ht="18">
      <c r="A247" s="32"/>
      <c r="B247" s="56"/>
      <c r="C247" s="56"/>
      <c r="D247" s="56"/>
      <c r="E247" s="56"/>
      <c r="F247" s="56"/>
      <c r="G247" s="56"/>
      <c r="H247" s="56"/>
      <c r="I247" s="56"/>
      <c r="J247" s="56"/>
      <c r="K247" s="2">
        <f t="shared" si="24"/>
        <v>0</v>
      </c>
    </row>
    <row r="248" spans="1:11" ht="31.5">
      <c r="A248" s="119" t="s">
        <v>199</v>
      </c>
      <c r="B248" s="77">
        <v>62.679</v>
      </c>
      <c r="C248" s="78">
        <f>ROUND(C250*C251*4/1000,2)+77</f>
        <v>6639.86</v>
      </c>
      <c r="D248" s="111">
        <f>ROUND(D250*D251*4/1000,2)+77</f>
        <v>6639.86</v>
      </c>
      <c r="E248" s="111">
        <f>ROUND(E250*E251*4/1000,2)-1</f>
        <v>500.16</v>
      </c>
      <c r="F248" s="78">
        <f>ROUND(F250*F251*4/1000,2)-5</f>
        <v>7373.7</v>
      </c>
      <c r="G248" s="78">
        <f>ROUND(G250*G251*4/1000,2)+6</f>
        <v>7336.4</v>
      </c>
      <c r="H248" s="78">
        <f>ROUND(H250*H251*4/1000,2)-29</f>
        <v>8008.26</v>
      </c>
      <c r="I248" s="78">
        <f>ROUND(I250*I251*4/1000,2)-92</f>
        <v>8652.12</v>
      </c>
      <c r="J248" s="78">
        <f>ROUND(J250*J251*4/1000,2)-5</f>
        <v>7373.7</v>
      </c>
      <c r="K248" s="2">
        <f t="shared" si="24"/>
        <v>0</v>
      </c>
    </row>
    <row r="249" spans="1:11" ht="18">
      <c r="A249" s="115" t="s">
        <v>200</v>
      </c>
      <c r="B249" s="79"/>
      <c r="C249" s="56"/>
      <c r="D249" s="56"/>
      <c r="E249" s="56"/>
      <c r="F249" s="56"/>
      <c r="G249" s="56"/>
      <c r="H249" s="56"/>
      <c r="I249" s="56"/>
      <c r="J249" s="56"/>
      <c r="K249" s="2">
        <f t="shared" si="24"/>
        <v>0</v>
      </c>
    </row>
    <row r="250" spans="1:11" ht="18">
      <c r="A250" s="115" t="s">
        <v>201</v>
      </c>
      <c r="B250" s="79"/>
      <c r="C250" s="56">
        <f>C31</f>
        <v>2200</v>
      </c>
      <c r="D250" s="56">
        <f>D31</f>
        <v>2200</v>
      </c>
      <c r="E250" s="56">
        <v>168</v>
      </c>
      <c r="F250" s="56">
        <f>F31</f>
        <v>2075</v>
      </c>
      <c r="G250" s="56">
        <f>G31</f>
        <v>1870</v>
      </c>
      <c r="H250" s="56">
        <f>H31</f>
        <v>1870</v>
      </c>
      <c r="I250" s="56">
        <f>I31</f>
        <v>1870</v>
      </c>
      <c r="J250" s="56">
        <f>J31</f>
        <v>2075</v>
      </c>
      <c r="K250" s="2">
        <f t="shared" si="24"/>
        <v>0</v>
      </c>
    </row>
    <row r="251" spans="1:11" ht="18">
      <c r="A251" s="115" t="s">
        <v>202</v>
      </c>
      <c r="B251" s="79"/>
      <c r="C251" s="56">
        <f aca="true" t="shared" si="31" ref="C251:J251">ROUND(C13*70/100,2)</f>
        <v>745.78</v>
      </c>
      <c r="D251" s="56">
        <f t="shared" si="31"/>
        <v>745.78</v>
      </c>
      <c r="E251" s="56">
        <f t="shared" si="31"/>
        <v>745.78</v>
      </c>
      <c r="F251" s="56">
        <f t="shared" si="31"/>
        <v>889</v>
      </c>
      <c r="G251" s="56">
        <f t="shared" si="31"/>
        <v>980</v>
      </c>
      <c r="H251" s="56">
        <f t="shared" si="31"/>
        <v>1074.5</v>
      </c>
      <c r="I251" s="56">
        <f t="shared" si="31"/>
        <v>1169</v>
      </c>
      <c r="J251" s="56">
        <f t="shared" si="31"/>
        <v>889</v>
      </c>
      <c r="K251" s="2">
        <f t="shared" si="24"/>
        <v>0</v>
      </c>
    </row>
    <row r="252" spans="1:11" ht="18">
      <c r="A252" s="115" t="s">
        <v>203</v>
      </c>
      <c r="B252" s="79"/>
      <c r="C252" s="56">
        <v>4</v>
      </c>
      <c r="D252" s="56">
        <v>4</v>
      </c>
      <c r="E252" s="56">
        <v>4</v>
      </c>
      <c r="F252" s="56">
        <v>4</v>
      </c>
      <c r="G252" s="56">
        <v>4</v>
      </c>
      <c r="H252" s="56">
        <v>4</v>
      </c>
      <c r="I252" s="56">
        <v>4</v>
      </c>
      <c r="J252" s="56">
        <v>4</v>
      </c>
      <c r="K252" s="2">
        <f t="shared" si="24"/>
        <v>0</v>
      </c>
    </row>
    <row r="253" spans="1:11" ht="18">
      <c r="A253" s="115"/>
      <c r="B253" s="79"/>
      <c r="C253" s="56"/>
      <c r="D253" s="56"/>
      <c r="E253" s="56"/>
      <c r="F253" s="72"/>
      <c r="G253" s="56"/>
      <c r="H253" s="56"/>
      <c r="I253" s="56"/>
      <c r="J253" s="72"/>
      <c r="K253" s="2">
        <f t="shared" si="24"/>
        <v>0</v>
      </c>
    </row>
    <row r="254" spans="1:11" ht="31.5">
      <c r="A254" s="119" t="s">
        <v>204</v>
      </c>
      <c r="B254" s="79">
        <v>37.798</v>
      </c>
      <c r="C254" s="56">
        <f>C256*C257</f>
        <v>24524.953992000002</v>
      </c>
      <c r="D254" s="56">
        <f>D256*D257</f>
        <v>24524.953992000002</v>
      </c>
      <c r="E254" s="56">
        <f>E256*E257-11</f>
        <v>500.39200000000005</v>
      </c>
      <c r="F254" s="73">
        <f>F256*F257-117</f>
        <v>24419.4</v>
      </c>
      <c r="G254" s="73">
        <f>G256*G257-36</f>
        <v>29868</v>
      </c>
      <c r="H254" s="74">
        <f>H256*H257-184</f>
        <v>32603.6</v>
      </c>
      <c r="I254" s="74">
        <f>I256*I257-445</f>
        <v>35226.2</v>
      </c>
      <c r="J254" s="73">
        <f>J256*J257-117</f>
        <v>24419.4</v>
      </c>
      <c r="K254" s="2">
        <f aca="true" t="shared" si="32" ref="K254:K285">J254-F254</f>
        <v>0</v>
      </c>
    </row>
    <row r="255" spans="1:11" ht="18">
      <c r="A255" s="30" t="s">
        <v>205</v>
      </c>
      <c r="B255" s="79"/>
      <c r="C255" s="56"/>
      <c r="D255" s="56"/>
      <c r="E255" s="56"/>
      <c r="F255" s="57"/>
      <c r="G255" s="56"/>
      <c r="H255" s="56"/>
      <c r="I255" s="56"/>
      <c r="J255" s="57"/>
      <c r="K255" s="2">
        <f t="shared" si="32"/>
        <v>0</v>
      </c>
    </row>
    <row r="256" spans="1:11" ht="18">
      <c r="A256" s="115" t="s">
        <v>206</v>
      </c>
      <c r="B256" s="79"/>
      <c r="C256" s="72">
        <f>C32</f>
        <v>1.91829</v>
      </c>
      <c r="D256" s="72">
        <f>D32</f>
        <v>1.91829</v>
      </c>
      <c r="E256" s="72">
        <v>0.04</v>
      </c>
      <c r="F256" s="72">
        <f>F32</f>
        <v>1.61</v>
      </c>
      <c r="G256" s="72">
        <f>G32</f>
        <v>1.78</v>
      </c>
      <c r="H256" s="72">
        <f>H32</f>
        <v>1.78</v>
      </c>
      <c r="I256" s="72">
        <f>I32</f>
        <v>1.78</v>
      </c>
      <c r="J256" s="72">
        <f>J32</f>
        <v>1.61</v>
      </c>
      <c r="K256" s="2">
        <f t="shared" si="32"/>
        <v>0</v>
      </c>
    </row>
    <row r="257" spans="1:11" ht="18">
      <c r="A257" s="115" t="s">
        <v>207</v>
      </c>
      <c r="B257" s="79"/>
      <c r="C257" s="56">
        <f aca="true" t="shared" si="33" ref="C257:J257">C13*12</f>
        <v>12784.800000000001</v>
      </c>
      <c r="D257" s="56">
        <f t="shared" si="33"/>
        <v>12784.800000000001</v>
      </c>
      <c r="E257" s="56">
        <f t="shared" si="33"/>
        <v>12784.800000000001</v>
      </c>
      <c r="F257" s="56">
        <f t="shared" si="33"/>
        <v>15240</v>
      </c>
      <c r="G257" s="56">
        <f t="shared" si="33"/>
        <v>16800</v>
      </c>
      <c r="H257" s="56">
        <f t="shared" si="33"/>
        <v>18420</v>
      </c>
      <c r="I257" s="56">
        <f t="shared" si="33"/>
        <v>20040</v>
      </c>
      <c r="J257" s="56">
        <f t="shared" si="33"/>
        <v>15240</v>
      </c>
      <c r="K257" s="2">
        <f t="shared" si="32"/>
        <v>0</v>
      </c>
    </row>
    <row r="258" spans="1:11" ht="18">
      <c r="A258" s="115"/>
      <c r="B258" s="79"/>
      <c r="C258" s="56"/>
      <c r="D258" s="56"/>
      <c r="E258" s="56"/>
      <c r="F258" s="72"/>
      <c r="G258" s="56"/>
      <c r="H258" s="56"/>
      <c r="I258" s="56"/>
      <c r="J258" s="72"/>
      <c r="K258" s="2">
        <f t="shared" si="32"/>
        <v>0</v>
      </c>
    </row>
    <row r="259" spans="1:11" ht="31.5">
      <c r="A259" s="119" t="s">
        <v>208</v>
      </c>
      <c r="B259" s="79">
        <v>1047.832</v>
      </c>
      <c r="C259" s="120">
        <f>C262*C263/1000+2</f>
        <v>3841</v>
      </c>
      <c r="D259" s="120">
        <f>D262*D263/1000+2</f>
        <v>3841</v>
      </c>
      <c r="E259" s="120">
        <f aca="true" t="shared" si="34" ref="E259:J259">E262*E263/1000</f>
        <v>1199.862</v>
      </c>
      <c r="F259" s="77">
        <f t="shared" si="34"/>
        <v>1822.5</v>
      </c>
      <c r="G259" s="77">
        <f t="shared" si="34"/>
        <v>4152.5</v>
      </c>
      <c r="H259" s="77">
        <f t="shared" si="34"/>
        <v>4279</v>
      </c>
      <c r="I259" s="77">
        <f t="shared" si="34"/>
        <v>4394.5</v>
      </c>
      <c r="J259" s="77">
        <f t="shared" si="34"/>
        <v>1822.5</v>
      </c>
      <c r="K259" s="2">
        <f t="shared" si="32"/>
        <v>0</v>
      </c>
    </row>
    <row r="260" spans="1:11" ht="30.75">
      <c r="A260" s="30" t="s">
        <v>209</v>
      </c>
      <c r="B260" s="79"/>
      <c r="C260" s="56"/>
      <c r="D260" s="56"/>
      <c r="E260" s="56"/>
      <c r="F260" s="56"/>
      <c r="G260" s="56"/>
      <c r="H260" s="56"/>
      <c r="I260" s="56"/>
      <c r="J260" s="56"/>
      <c r="K260" s="2">
        <f t="shared" si="32"/>
        <v>0</v>
      </c>
    </row>
    <row r="261" spans="1:11" ht="45.75">
      <c r="A261" s="31" t="s">
        <v>210</v>
      </c>
      <c r="B261" s="79"/>
      <c r="C261" s="56"/>
      <c r="D261" s="56"/>
      <c r="E261" s="56"/>
      <c r="F261" s="56"/>
      <c r="G261" s="56"/>
      <c r="H261" s="56"/>
      <c r="I261" s="56"/>
      <c r="J261" s="56"/>
      <c r="K261" s="2">
        <f t="shared" si="32"/>
        <v>0</v>
      </c>
    </row>
    <row r="262" spans="1:11" ht="18">
      <c r="A262" s="115" t="s">
        <v>211</v>
      </c>
      <c r="B262" s="79"/>
      <c r="C262" s="56">
        <v>5500</v>
      </c>
      <c r="D262" s="56">
        <v>5500</v>
      </c>
      <c r="E262" s="56">
        <v>1719</v>
      </c>
      <c r="F262" s="56">
        <f aca="true" t="shared" si="35" ref="F262:J263">F33</f>
        <v>2500</v>
      </c>
      <c r="G262" s="56">
        <f t="shared" si="35"/>
        <v>5500</v>
      </c>
      <c r="H262" s="56">
        <f t="shared" si="35"/>
        <v>5500</v>
      </c>
      <c r="I262" s="56">
        <f t="shared" si="35"/>
        <v>5500</v>
      </c>
      <c r="J262" s="56">
        <f t="shared" si="35"/>
        <v>2500</v>
      </c>
      <c r="K262" s="2">
        <f t="shared" si="32"/>
        <v>0</v>
      </c>
    </row>
    <row r="263" spans="1:11" ht="18">
      <c r="A263" s="115" t="s">
        <v>212</v>
      </c>
      <c r="B263" s="79"/>
      <c r="C263" s="56">
        <v>698</v>
      </c>
      <c r="D263" s="56">
        <v>698</v>
      </c>
      <c r="E263" s="56">
        <v>698</v>
      </c>
      <c r="F263" s="56">
        <f t="shared" si="35"/>
        <v>729</v>
      </c>
      <c r="G263" s="56">
        <f t="shared" si="35"/>
        <v>755</v>
      </c>
      <c r="H263" s="56">
        <f t="shared" si="35"/>
        <v>778</v>
      </c>
      <c r="I263" s="56">
        <f t="shared" si="35"/>
        <v>799</v>
      </c>
      <c r="J263" s="56">
        <f t="shared" si="35"/>
        <v>729</v>
      </c>
      <c r="K263" s="2">
        <f t="shared" si="32"/>
        <v>0</v>
      </c>
    </row>
    <row r="264" spans="1:11" ht="18">
      <c r="A264" s="115"/>
      <c r="B264" s="79"/>
      <c r="C264" s="56"/>
      <c r="D264" s="56"/>
      <c r="E264" s="56"/>
      <c r="F264" s="56"/>
      <c r="G264" s="56"/>
      <c r="H264" s="56"/>
      <c r="I264" s="56"/>
      <c r="J264" s="56"/>
      <c r="K264" s="2">
        <f t="shared" si="32"/>
        <v>0</v>
      </c>
    </row>
    <row r="265" spans="1:11" ht="31.5">
      <c r="A265" s="119" t="s">
        <v>213</v>
      </c>
      <c r="B265" s="56">
        <v>0</v>
      </c>
      <c r="C265" s="56">
        <f>C267*C268/1000</f>
        <v>1603</v>
      </c>
      <c r="D265" s="56">
        <f>D267*D268/1000</f>
        <v>1603</v>
      </c>
      <c r="E265" s="56">
        <f>E267*E268/1000</f>
        <v>200.146</v>
      </c>
      <c r="F265" s="73">
        <f>ROUND(+F267*F268/1000-1,0)</f>
        <v>1197</v>
      </c>
      <c r="G265" s="77">
        <f>ROUND(+G267*G268/1000,0)</f>
        <v>1733</v>
      </c>
      <c r="H265" s="73">
        <f>ROUND(+H267*H268/1000,0)+0.4</f>
        <v>1785.4</v>
      </c>
      <c r="I265" s="77">
        <f>ROUND(+I267*I268/1000,0)</f>
        <v>1838</v>
      </c>
      <c r="J265" s="73">
        <f>ROUND(+J267*J268/1000-1,0)</f>
        <v>1197</v>
      </c>
      <c r="K265" s="2">
        <f t="shared" si="32"/>
        <v>0</v>
      </c>
    </row>
    <row r="266" spans="1:11" ht="18">
      <c r="A266" s="115" t="s">
        <v>214</v>
      </c>
      <c r="B266" s="56"/>
      <c r="C266" s="56"/>
      <c r="D266" s="56"/>
      <c r="E266" s="56"/>
      <c r="F266" s="57"/>
      <c r="G266" s="57"/>
      <c r="H266" s="57"/>
      <c r="I266" s="57"/>
      <c r="J266" s="57"/>
      <c r="K266" s="2">
        <f t="shared" si="32"/>
        <v>0</v>
      </c>
    </row>
    <row r="267" spans="1:11" ht="18">
      <c r="A267" s="115" t="s">
        <v>215</v>
      </c>
      <c r="B267" s="56"/>
      <c r="C267" s="56">
        <v>3500</v>
      </c>
      <c r="D267" s="56">
        <v>3500</v>
      </c>
      <c r="E267" s="56">
        <v>437</v>
      </c>
      <c r="F267" s="56">
        <f aca="true" t="shared" si="36" ref="F267:J268">F35</f>
        <v>2500</v>
      </c>
      <c r="G267" s="56">
        <f t="shared" si="36"/>
        <v>3500</v>
      </c>
      <c r="H267" s="56">
        <f t="shared" si="36"/>
        <v>3500</v>
      </c>
      <c r="I267" s="56">
        <f t="shared" si="36"/>
        <v>3500</v>
      </c>
      <c r="J267" s="56">
        <f t="shared" si="36"/>
        <v>2500</v>
      </c>
      <c r="K267" s="2">
        <f t="shared" si="32"/>
        <v>0</v>
      </c>
    </row>
    <row r="268" spans="1:11" ht="18">
      <c r="A268" s="115" t="s">
        <v>216</v>
      </c>
      <c r="B268" s="56"/>
      <c r="C268" s="56">
        <v>458</v>
      </c>
      <c r="D268" s="56">
        <v>458</v>
      </c>
      <c r="E268" s="57">
        <v>458</v>
      </c>
      <c r="F268" s="56">
        <f t="shared" si="36"/>
        <v>479</v>
      </c>
      <c r="G268" s="56">
        <f t="shared" si="36"/>
        <v>495</v>
      </c>
      <c r="H268" s="56">
        <f t="shared" si="36"/>
        <v>510</v>
      </c>
      <c r="I268" s="56">
        <f t="shared" si="36"/>
        <v>525</v>
      </c>
      <c r="J268" s="56">
        <f t="shared" si="36"/>
        <v>479</v>
      </c>
      <c r="K268" s="2">
        <f t="shared" si="32"/>
        <v>0</v>
      </c>
    </row>
    <row r="269" spans="1:11" ht="18">
      <c r="A269" s="115"/>
      <c r="B269" s="56"/>
      <c r="C269" s="56"/>
      <c r="D269" s="56"/>
      <c r="E269" s="56"/>
      <c r="F269" s="121"/>
      <c r="G269" s="56"/>
      <c r="H269" s="56"/>
      <c r="I269" s="56"/>
      <c r="J269" s="121"/>
      <c r="K269" s="2">
        <f t="shared" si="32"/>
        <v>0</v>
      </c>
    </row>
    <row r="270" spans="1:11" ht="47.25">
      <c r="A270" s="119" t="s">
        <v>217</v>
      </c>
      <c r="B270" s="77">
        <v>29.204</v>
      </c>
      <c r="C270" s="56">
        <v>12353</v>
      </c>
      <c r="D270" s="56">
        <v>12353</v>
      </c>
      <c r="E270" s="56">
        <v>12353</v>
      </c>
      <c r="F270" s="57">
        <v>11752</v>
      </c>
      <c r="G270" s="56">
        <v>11000</v>
      </c>
      <c r="H270" s="56">
        <v>10000</v>
      </c>
      <c r="I270" s="56">
        <v>10000</v>
      </c>
      <c r="J270" s="57">
        <v>11752</v>
      </c>
      <c r="K270" s="2">
        <f t="shared" si="32"/>
        <v>0</v>
      </c>
    </row>
    <row r="271" spans="1:11" ht="18">
      <c r="A271" s="115" t="s">
        <v>218</v>
      </c>
      <c r="B271" s="56"/>
      <c r="C271" s="56"/>
      <c r="D271" s="56"/>
      <c r="E271" s="56"/>
      <c r="F271" s="56"/>
      <c r="G271" s="56"/>
      <c r="H271" s="56"/>
      <c r="I271" s="56"/>
      <c r="J271" s="56"/>
      <c r="K271" s="2">
        <f t="shared" si="32"/>
        <v>0</v>
      </c>
    </row>
    <row r="272" spans="1:11" ht="18">
      <c r="A272" s="115"/>
      <c r="B272" s="56"/>
      <c r="C272" s="56"/>
      <c r="D272" s="56"/>
      <c r="E272" s="56"/>
      <c r="F272" s="56"/>
      <c r="G272" s="56"/>
      <c r="H272" s="56"/>
      <c r="I272" s="56"/>
      <c r="J272" s="56"/>
      <c r="K272" s="2">
        <f t="shared" si="32"/>
        <v>0</v>
      </c>
    </row>
    <row r="273" spans="1:11" ht="47.25">
      <c r="A273" s="119" t="s">
        <v>219</v>
      </c>
      <c r="B273" s="56">
        <v>0</v>
      </c>
      <c r="C273" s="56">
        <v>0</v>
      </c>
      <c r="D273" s="56">
        <v>0</v>
      </c>
      <c r="E273" s="56">
        <v>0</v>
      </c>
      <c r="F273" s="57">
        <v>0</v>
      </c>
      <c r="G273" s="56">
        <v>0</v>
      </c>
      <c r="H273" s="56">
        <v>0</v>
      </c>
      <c r="I273" s="56">
        <v>0</v>
      </c>
      <c r="J273" s="57">
        <v>0</v>
      </c>
      <c r="K273" s="2">
        <f t="shared" si="32"/>
        <v>0</v>
      </c>
    </row>
    <row r="274" spans="1:11" ht="18">
      <c r="A274" s="115" t="s">
        <v>215</v>
      </c>
      <c r="B274" s="56"/>
      <c r="C274" s="56"/>
      <c r="D274" s="56"/>
      <c r="E274" s="56"/>
      <c r="F274" s="56"/>
      <c r="G274" s="56"/>
      <c r="H274" s="56"/>
      <c r="I274" s="56"/>
      <c r="J274" s="56"/>
      <c r="K274" s="2">
        <f t="shared" si="32"/>
        <v>0</v>
      </c>
    </row>
    <row r="275" spans="1:11" ht="18">
      <c r="A275" s="115" t="s">
        <v>220</v>
      </c>
      <c r="B275" s="56"/>
      <c r="C275" s="56"/>
      <c r="D275" s="56"/>
      <c r="E275" s="56"/>
      <c r="F275" s="56"/>
      <c r="G275" s="56"/>
      <c r="H275" s="56"/>
      <c r="I275" s="56"/>
      <c r="J275" s="56"/>
      <c r="K275" s="2">
        <f t="shared" si="32"/>
        <v>0</v>
      </c>
    </row>
    <row r="276" spans="1:11" ht="18">
      <c r="A276" s="115"/>
      <c r="B276" s="56"/>
      <c r="C276" s="56"/>
      <c r="D276" s="56"/>
      <c r="E276" s="56"/>
      <c r="F276" s="56"/>
      <c r="G276" s="56"/>
      <c r="H276" s="56"/>
      <c r="I276" s="56"/>
      <c r="J276" s="56"/>
      <c r="K276" s="2">
        <f t="shared" si="32"/>
        <v>0</v>
      </c>
    </row>
    <row r="277" spans="1:11" ht="63">
      <c r="A277" s="76" t="s">
        <v>221</v>
      </c>
      <c r="B277" s="59">
        <f aca="true" t="shared" si="37" ref="B277:J277">SUM(B279+B315+B349+B351+B363)</f>
        <v>3766.0150000000003</v>
      </c>
      <c r="C277" s="59">
        <f t="shared" si="37"/>
        <v>11341</v>
      </c>
      <c r="D277" s="59">
        <f t="shared" si="37"/>
        <v>12091</v>
      </c>
      <c r="E277" s="59">
        <f t="shared" si="37"/>
        <v>11591</v>
      </c>
      <c r="F277" s="59">
        <f t="shared" si="37"/>
        <v>13272</v>
      </c>
      <c r="G277" s="59">
        <f t="shared" si="37"/>
        <v>13763.931999999999</v>
      </c>
      <c r="H277" s="59">
        <f t="shared" si="37"/>
        <v>14202.731959999997</v>
      </c>
      <c r="I277" s="59">
        <f t="shared" si="37"/>
        <v>14613.75744492</v>
      </c>
      <c r="J277" s="59">
        <f t="shared" si="37"/>
        <v>13272</v>
      </c>
      <c r="K277" s="2">
        <f t="shared" si="32"/>
        <v>0</v>
      </c>
    </row>
    <row r="278" spans="1:11" ht="18">
      <c r="A278" s="116"/>
      <c r="B278" s="57"/>
      <c r="C278" s="56"/>
      <c r="D278" s="56"/>
      <c r="E278" s="56"/>
      <c r="F278" s="56"/>
      <c r="G278" s="56"/>
      <c r="H278" s="56"/>
      <c r="I278" s="56"/>
      <c r="J278" s="56"/>
      <c r="K278" s="2">
        <f t="shared" si="32"/>
        <v>0</v>
      </c>
    </row>
    <row r="279" spans="1:11" ht="18">
      <c r="A279" s="122" t="s">
        <v>222</v>
      </c>
      <c r="B279" s="56">
        <f>SUM(B283+B301+B308)</f>
        <v>2086.733</v>
      </c>
      <c r="C279" s="77">
        <f>SUM(C283+C301+C308)</f>
        <v>3220</v>
      </c>
      <c r="D279" s="77">
        <f>SUM(D283+D301+D308)</f>
        <v>3970</v>
      </c>
      <c r="E279" s="77">
        <f>SUM(E283+E301+E308)</f>
        <v>3970</v>
      </c>
      <c r="F279" s="77">
        <f>SUM(F283+F301+F308)</f>
        <v>4785</v>
      </c>
      <c r="G279" s="77">
        <f>F279*G8/100</f>
        <v>4976.4</v>
      </c>
      <c r="H279" s="77">
        <f>G279*H8/100</f>
        <v>5150.574</v>
      </c>
      <c r="I279" s="123">
        <f>H279*I8/100+0.6</f>
        <v>5305.69122</v>
      </c>
      <c r="J279" s="77">
        <f>SUM(J283+J301+J308)</f>
        <v>4785</v>
      </c>
      <c r="K279" s="2">
        <f t="shared" si="32"/>
        <v>0</v>
      </c>
    </row>
    <row r="280" spans="1:11" ht="18">
      <c r="A280" s="122"/>
      <c r="B280" s="56"/>
      <c r="C280" s="56"/>
      <c r="D280" s="56"/>
      <c r="E280" s="56"/>
      <c r="F280" s="56"/>
      <c r="G280" s="56"/>
      <c r="H280" s="56"/>
      <c r="I280" s="56"/>
      <c r="J280" s="56"/>
      <c r="K280" s="2">
        <f t="shared" si="32"/>
        <v>0</v>
      </c>
    </row>
    <row r="281" spans="1:11" ht="18">
      <c r="A281" s="64" t="s">
        <v>81</v>
      </c>
      <c r="B281" s="56"/>
      <c r="C281" s="56">
        <v>156</v>
      </c>
      <c r="D281" s="56">
        <v>156</v>
      </c>
      <c r="E281" s="56">
        <v>156</v>
      </c>
      <c r="F281" s="56">
        <v>156</v>
      </c>
      <c r="G281" s="56"/>
      <c r="H281" s="56"/>
      <c r="I281" s="56"/>
      <c r="J281" s="56">
        <v>156</v>
      </c>
      <c r="K281" s="2">
        <f t="shared" si="32"/>
        <v>0</v>
      </c>
    </row>
    <row r="282" spans="1:11" ht="18">
      <c r="A282" s="64"/>
      <c r="B282" s="56"/>
      <c r="C282" s="56"/>
      <c r="D282" s="56"/>
      <c r="E282" s="56"/>
      <c r="F282" s="56"/>
      <c r="G282" s="56"/>
      <c r="H282" s="56"/>
      <c r="I282" s="56"/>
      <c r="J282" s="56"/>
      <c r="K282" s="2">
        <f t="shared" si="32"/>
        <v>0</v>
      </c>
    </row>
    <row r="283" spans="1:11" ht="18">
      <c r="A283" s="124" t="s">
        <v>223</v>
      </c>
      <c r="B283" s="57">
        <f>SUM(B284:B300)</f>
        <v>1587.3040000000003</v>
      </c>
      <c r="C283" s="57">
        <f>SUM(C284:C300)</f>
        <v>2479</v>
      </c>
      <c r="D283" s="57">
        <f>SUM(D284:D300)</f>
        <v>3060</v>
      </c>
      <c r="E283" s="57">
        <f>SUM(E284:E300)</f>
        <v>3060</v>
      </c>
      <c r="F283" s="57">
        <f>SUM(F284:F300)</f>
        <v>3725</v>
      </c>
      <c r="G283" s="57"/>
      <c r="H283" s="57"/>
      <c r="I283" s="57"/>
      <c r="J283" s="57">
        <f>SUM(J284:J300)</f>
        <v>3725</v>
      </c>
      <c r="K283" s="2">
        <f t="shared" si="32"/>
        <v>0</v>
      </c>
    </row>
    <row r="284" spans="1:11" ht="18">
      <c r="A284" s="68" t="s">
        <v>83</v>
      </c>
      <c r="B284" s="77">
        <v>1184.28</v>
      </c>
      <c r="C284" s="56">
        <v>1970</v>
      </c>
      <c r="D284" s="56">
        <v>1990</v>
      </c>
      <c r="E284" s="56">
        <v>1990</v>
      </c>
      <c r="F284" s="56">
        <v>2212</v>
      </c>
      <c r="G284" s="56"/>
      <c r="H284" s="56"/>
      <c r="I284" s="56"/>
      <c r="J284" s="56">
        <v>2212</v>
      </c>
      <c r="K284" s="2">
        <f t="shared" si="32"/>
        <v>0</v>
      </c>
    </row>
    <row r="285" spans="1:11" ht="18">
      <c r="A285" s="68" t="s">
        <v>84</v>
      </c>
      <c r="B285" s="79">
        <v>8.824</v>
      </c>
      <c r="C285" s="56">
        <v>40</v>
      </c>
      <c r="D285" s="56">
        <v>25</v>
      </c>
      <c r="E285" s="56">
        <v>25</v>
      </c>
      <c r="F285" s="56">
        <v>30</v>
      </c>
      <c r="G285" s="56"/>
      <c r="H285" s="56"/>
      <c r="I285" s="56"/>
      <c r="J285" s="56">
        <v>30</v>
      </c>
      <c r="K285" s="2">
        <f t="shared" si="32"/>
        <v>0</v>
      </c>
    </row>
    <row r="286" spans="1:11" ht="18">
      <c r="A286" s="68" t="s">
        <v>85</v>
      </c>
      <c r="B286" s="79">
        <v>5.189</v>
      </c>
      <c r="C286" s="56">
        <v>15</v>
      </c>
      <c r="D286" s="56">
        <v>10</v>
      </c>
      <c r="E286" s="56">
        <v>10</v>
      </c>
      <c r="F286" s="56">
        <v>13</v>
      </c>
      <c r="G286" s="56"/>
      <c r="H286" s="56"/>
      <c r="I286" s="56"/>
      <c r="J286" s="56">
        <v>13</v>
      </c>
      <c r="K286" s="2">
        <f aca="true" t="shared" si="38" ref="K286:K317">J286-F286</f>
        <v>0</v>
      </c>
    </row>
    <row r="287" spans="1:11" ht="18">
      <c r="A287" s="68" t="s">
        <v>86</v>
      </c>
      <c r="B287" s="79">
        <v>219.96</v>
      </c>
      <c r="C287" s="56">
        <v>180</v>
      </c>
      <c r="D287" s="56">
        <v>325</v>
      </c>
      <c r="E287" s="56">
        <v>325</v>
      </c>
      <c r="F287" s="56">
        <v>410</v>
      </c>
      <c r="G287" s="56"/>
      <c r="H287" s="56"/>
      <c r="I287" s="56"/>
      <c r="J287" s="56">
        <v>410</v>
      </c>
      <c r="K287" s="2">
        <f t="shared" si="38"/>
        <v>0</v>
      </c>
    </row>
    <row r="288" spans="1:11" ht="18">
      <c r="A288" s="68" t="s">
        <v>87</v>
      </c>
      <c r="B288" s="79">
        <v>0</v>
      </c>
      <c r="C288" s="56"/>
      <c r="D288" s="56"/>
      <c r="E288" s="56"/>
      <c r="F288" s="56"/>
      <c r="G288" s="56"/>
      <c r="H288" s="56"/>
      <c r="I288" s="56"/>
      <c r="J288" s="56"/>
      <c r="K288" s="2">
        <f t="shared" si="38"/>
        <v>0</v>
      </c>
    </row>
    <row r="289" spans="1:11" ht="18">
      <c r="A289" s="68" t="s">
        <v>88</v>
      </c>
      <c r="B289" s="79">
        <v>7.821</v>
      </c>
      <c r="C289" s="56">
        <v>7</v>
      </c>
      <c r="D289" s="56">
        <v>16</v>
      </c>
      <c r="E289" s="56">
        <v>16</v>
      </c>
      <c r="F289" s="56">
        <v>21</v>
      </c>
      <c r="G289" s="56"/>
      <c r="H289" s="56"/>
      <c r="I289" s="56"/>
      <c r="J289" s="56">
        <v>21</v>
      </c>
      <c r="K289" s="2">
        <f t="shared" si="38"/>
        <v>0</v>
      </c>
    </row>
    <row r="290" spans="1:11" ht="18">
      <c r="A290" s="68" t="s">
        <v>89</v>
      </c>
      <c r="B290" s="79">
        <v>45.318</v>
      </c>
      <c r="C290" s="56">
        <v>37</v>
      </c>
      <c r="D290" s="56">
        <v>300</v>
      </c>
      <c r="E290" s="56">
        <v>300</v>
      </c>
      <c r="F290" s="56">
        <v>300</v>
      </c>
      <c r="G290" s="56"/>
      <c r="H290" s="56"/>
      <c r="I290" s="56"/>
      <c r="J290" s="56">
        <v>300</v>
      </c>
      <c r="K290" s="2">
        <f t="shared" si="38"/>
        <v>0</v>
      </c>
    </row>
    <row r="291" spans="1:11" ht="18">
      <c r="A291" s="68" t="s">
        <v>90</v>
      </c>
      <c r="B291" s="79">
        <v>45.054</v>
      </c>
      <c r="C291" s="56">
        <v>180</v>
      </c>
      <c r="D291" s="56">
        <v>244</v>
      </c>
      <c r="E291" s="56">
        <v>244</v>
      </c>
      <c r="F291" s="56">
        <v>300</v>
      </c>
      <c r="G291" s="56"/>
      <c r="H291" s="56"/>
      <c r="I291" s="56"/>
      <c r="J291" s="56">
        <v>300</v>
      </c>
      <c r="K291" s="2">
        <f t="shared" si="38"/>
        <v>0</v>
      </c>
    </row>
    <row r="292" spans="1:11" ht="18">
      <c r="A292" s="68" t="s">
        <v>91</v>
      </c>
      <c r="B292" s="79">
        <v>0</v>
      </c>
      <c r="C292" s="56"/>
      <c r="D292" s="56"/>
      <c r="E292" s="56"/>
      <c r="F292" s="56">
        <v>174</v>
      </c>
      <c r="G292" s="56"/>
      <c r="H292" s="56"/>
      <c r="I292" s="56"/>
      <c r="J292" s="56">
        <v>174</v>
      </c>
      <c r="K292" s="2">
        <f t="shared" si="38"/>
        <v>0</v>
      </c>
    </row>
    <row r="293" spans="1:11" ht="18">
      <c r="A293" s="68" t="s">
        <v>92</v>
      </c>
      <c r="B293" s="79">
        <v>0</v>
      </c>
      <c r="C293" s="56"/>
      <c r="D293" s="56"/>
      <c r="E293" s="56"/>
      <c r="F293" s="56"/>
      <c r="G293" s="56"/>
      <c r="H293" s="56"/>
      <c r="I293" s="56"/>
      <c r="J293" s="56"/>
      <c r="K293" s="2">
        <f t="shared" si="38"/>
        <v>0</v>
      </c>
    </row>
    <row r="294" spans="1:11" ht="18">
      <c r="A294" s="68" t="s">
        <v>93</v>
      </c>
      <c r="B294" s="79">
        <v>0</v>
      </c>
      <c r="C294" s="56"/>
      <c r="D294" s="56"/>
      <c r="E294" s="56"/>
      <c r="F294" s="56"/>
      <c r="G294" s="56"/>
      <c r="H294" s="56"/>
      <c r="I294" s="56"/>
      <c r="J294" s="56"/>
      <c r="K294" s="2">
        <f t="shared" si="38"/>
        <v>0</v>
      </c>
    </row>
    <row r="295" spans="1:11" ht="30.75">
      <c r="A295" s="31" t="s">
        <v>94</v>
      </c>
      <c r="B295" s="79">
        <v>9.294</v>
      </c>
      <c r="C295" s="56"/>
      <c r="D295" s="56"/>
      <c r="E295" s="56"/>
      <c r="F295" s="56"/>
      <c r="G295" s="56"/>
      <c r="H295" s="56"/>
      <c r="I295" s="56"/>
      <c r="J295" s="56"/>
      <c r="K295" s="2">
        <f t="shared" si="38"/>
        <v>0</v>
      </c>
    </row>
    <row r="296" spans="1:11" ht="18">
      <c r="A296" s="68" t="s">
        <v>95</v>
      </c>
      <c r="B296" s="79">
        <v>0</v>
      </c>
      <c r="C296" s="56">
        <v>50</v>
      </c>
      <c r="D296" s="56">
        <v>50</v>
      </c>
      <c r="E296" s="56">
        <v>50</v>
      </c>
      <c r="F296" s="56">
        <v>65</v>
      </c>
      <c r="G296" s="56"/>
      <c r="H296" s="56"/>
      <c r="I296" s="56"/>
      <c r="J296" s="56">
        <v>65</v>
      </c>
      <c r="K296" s="2">
        <f t="shared" si="38"/>
        <v>0</v>
      </c>
    </row>
    <row r="297" spans="1:11" ht="18">
      <c r="A297" s="68" t="s">
        <v>96</v>
      </c>
      <c r="B297" s="79">
        <v>9.622</v>
      </c>
      <c r="C297" s="56"/>
      <c r="D297" s="56"/>
      <c r="E297" s="56"/>
      <c r="F297" s="56"/>
      <c r="G297" s="56"/>
      <c r="H297" s="56"/>
      <c r="I297" s="56"/>
      <c r="J297" s="56"/>
      <c r="K297" s="2">
        <f t="shared" si="38"/>
        <v>0</v>
      </c>
    </row>
    <row r="298" spans="1:11" ht="30.75">
      <c r="A298" s="31" t="s">
        <v>97</v>
      </c>
      <c r="B298" s="79">
        <v>0</v>
      </c>
      <c r="C298" s="56"/>
      <c r="D298" s="56"/>
      <c r="E298" s="56"/>
      <c r="F298" s="56"/>
      <c r="G298" s="56"/>
      <c r="H298" s="56"/>
      <c r="I298" s="56"/>
      <c r="J298" s="56"/>
      <c r="K298" s="2">
        <f t="shared" si="38"/>
        <v>0</v>
      </c>
    </row>
    <row r="299" spans="1:11" ht="18">
      <c r="A299" s="68" t="s">
        <v>98</v>
      </c>
      <c r="B299" s="79">
        <v>0</v>
      </c>
      <c r="C299" s="56"/>
      <c r="D299" s="56"/>
      <c r="E299" s="56"/>
      <c r="F299" s="56"/>
      <c r="G299" s="56"/>
      <c r="H299" s="56"/>
      <c r="I299" s="56"/>
      <c r="J299" s="56"/>
      <c r="K299" s="2">
        <f t="shared" si="38"/>
        <v>0</v>
      </c>
    </row>
    <row r="300" spans="1:11" ht="18">
      <c r="A300" s="68" t="s">
        <v>99</v>
      </c>
      <c r="B300" s="77">
        <v>51.942</v>
      </c>
      <c r="C300" s="56"/>
      <c r="D300" s="56">
        <v>100</v>
      </c>
      <c r="E300" s="56">
        <v>100</v>
      </c>
      <c r="F300" s="56">
        <v>200</v>
      </c>
      <c r="G300" s="56"/>
      <c r="H300" s="56"/>
      <c r="I300" s="56"/>
      <c r="J300" s="56">
        <v>200</v>
      </c>
      <c r="K300" s="2">
        <f t="shared" si="38"/>
        <v>0</v>
      </c>
    </row>
    <row r="301" spans="1:11" ht="18">
      <c r="A301" s="125" t="s">
        <v>224</v>
      </c>
      <c r="B301" s="56">
        <f>SUM(B302+B303+B304+B305+B306+B307)</f>
        <v>0</v>
      </c>
      <c r="C301" s="56">
        <f>SUM(C302+C303+C304+C305+C306+C307)</f>
        <v>0</v>
      </c>
      <c r="D301" s="56">
        <f>SUM(D302+D303+D304+D305+D306+D307)</f>
        <v>0</v>
      </c>
      <c r="E301" s="56">
        <f>SUM(E302+E303+E304+E305+E306+E307)</f>
        <v>0</v>
      </c>
      <c r="F301" s="56">
        <f>SUM(F302+F303+F304+F305+F306+F307)</f>
        <v>0</v>
      </c>
      <c r="G301" s="56"/>
      <c r="H301" s="56"/>
      <c r="I301" s="56"/>
      <c r="J301" s="56">
        <f>SUM(J302+J303+J304+J305+J306+J307)</f>
        <v>0</v>
      </c>
      <c r="K301" s="2">
        <f t="shared" si="38"/>
        <v>0</v>
      </c>
    </row>
    <row r="302" spans="1:11" ht="18">
      <c r="A302" s="68" t="s">
        <v>101</v>
      </c>
      <c r="B302" s="57">
        <v>0</v>
      </c>
      <c r="C302" s="56"/>
      <c r="D302" s="56"/>
      <c r="E302" s="56"/>
      <c r="F302" s="56"/>
      <c r="G302" s="56"/>
      <c r="H302" s="56"/>
      <c r="I302" s="56"/>
      <c r="J302" s="56"/>
      <c r="K302" s="2">
        <f t="shared" si="38"/>
        <v>0</v>
      </c>
    </row>
    <row r="303" spans="1:11" ht="18">
      <c r="A303" s="68" t="s">
        <v>102</v>
      </c>
      <c r="B303" s="56">
        <v>0</v>
      </c>
      <c r="C303" s="56"/>
      <c r="D303" s="56"/>
      <c r="E303" s="56"/>
      <c r="F303" s="56"/>
      <c r="G303" s="56"/>
      <c r="H303" s="56"/>
      <c r="I303" s="56"/>
      <c r="J303" s="56"/>
      <c r="K303" s="2">
        <f t="shared" si="38"/>
        <v>0</v>
      </c>
    </row>
    <row r="304" spans="1:11" ht="18">
      <c r="A304" s="68" t="s">
        <v>103</v>
      </c>
      <c r="B304" s="56">
        <v>0</v>
      </c>
      <c r="C304" s="56"/>
      <c r="D304" s="56"/>
      <c r="E304" s="56"/>
      <c r="F304" s="56"/>
      <c r="G304" s="56"/>
      <c r="H304" s="56"/>
      <c r="I304" s="56"/>
      <c r="J304" s="56"/>
      <c r="K304" s="2">
        <f t="shared" si="38"/>
        <v>0</v>
      </c>
    </row>
    <row r="305" spans="1:11" ht="30.75">
      <c r="A305" s="126" t="s">
        <v>104</v>
      </c>
      <c r="B305" s="56">
        <v>0</v>
      </c>
      <c r="C305" s="56"/>
      <c r="D305" s="56"/>
      <c r="E305" s="56"/>
      <c r="F305" s="56"/>
      <c r="G305" s="56"/>
      <c r="H305" s="56"/>
      <c r="I305" s="56"/>
      <c r="J305" s="56"/>
      <c r="K305" s="2">
        <f t="shared" si="38"/>
        <v>0</v>
      </c>
    </row>
    <row r="306" spans="1:11" ht="18">
      <c r="A306" s="68" t="s">
        <v>105</v>
      </c>
      <c r="B306" s="56">
        <v>0</v>
      </c>
      <c r="C306" s="56"/>
      <c r="D306" s="56"/>
      <c r="E306" s="56"/>
      <c r="F306" s="56"/>
      <c r="G306" s="56"/>
      <c r="H306" s="56"/>
      <c r="I306" s="56"/>
      <c r="J306" s="56"/>
      <c r="K306" s="2">
        <f t="shared" si="38"/>
        <v>0</v>
      </c>
    </row>
    <row r="307" spans="1:11" ht="18">
      <c r="A307" s="68" t="s">
        <v>106</v>
      </c>
      <c r="B307" s="56">
        <v>0</v>
      </c>
      <c r="C307" s="56"/>
      <c r="D307" s="56"/>
      <c r="E307" s="56"/>
      <c r="F307" s="56"/>
      <c r="G307" s="56"/>
      <c r="H307" s="56"/>
      <c r="I307" s="56"/>
      <c r="J307" s="56"/>
      <c r="K307" s="2">
        <f t="shared" si="38"/>
        <v>0</v>
      </c>
    </row>
    <row r="308" spans="1:11" ht="18">
      <c r="A308" s="125" t="s">
        <v>225</v>
      </c>
      <c r="B308" s="56">
        <f>SUM(B309+B310+B311+B312+B313)</f>
        <v>499.429</v>
      </c>
      <c r="C308" s="56">
        <f>SUM(C309+C310+C311+C312+C313)</f>
        <v>741</v>
      </c>
      <c r="D308" s="56">
        <f>SUM(D309+D310+D311+D312+D313)</f>
        <v>910</v>
      </c>
      <c r="E308" s="56">
        <f>SUM(E309+E310+E311+E312+E313)</f>
        <v>910</v>
      </c>
      <c r="F308" s="56">
        <f>SUM(F309+F310+F311+F312+F313)</f>
        <v>1060</v>
      </c>
      <c r="G308" s="56"/>
      <c r="H308" s="56"/>
      <c r="I308" s="56"/>
      <c r="J308" s="56">
        <f>SUM(J309+J310+J311+J312+J313)</f>
        <v>1060</v>
      </c>
      <c r="K308" s="2">
        <f t="shared" si="38"/>
        <v>0</v>
      </c>
    </row>
    <row r="309" spans="1:11" ht="18">
      <c r="A309" s="88" t="s">
        <v>226</v>
      </c>
      <c r="B309" s="77">
        <v>336.815</v>
      </c>
      <c r="C309" s="56">
        <v>498</v>
      </c>
      <c r="D309" s="56">
        <v>582</v>
      </c>
      <c r="E309" s="56">
        <v>582</v>
      </c>
      <c r="F309" s="56">
        <v>708</v>
      </c>
      <c r="G309" s="56"/>
      <c r="H309" s="56"/>
      <c r="I309" s="56"/>
      <c r="J309" s="56">
        <v>708</v>
      </c>
      <c r="K309" s="2">
        <f t="shared" si="38"/>
        <v>0</v>
      </c>
    </row>
    <row r="310" spans="1:11" ht="18">
      <c r="A310" s="88" t="s">
        <v>227</v>
      </c>
      <c r="B310" s="79">
        <v>46.258</v>
      </c>
      <c r="C310" s="56">
        <v>61</v>
      </c>
      <c r="D310" s="56">
        <v>77</v>
      </c>
      <c r="E310" s="56">
        <v>77</v>
      </c>
      <c r="F310" s="56">
        <v>93</v>
      </c>
      <c r="G310" s="56"/>
      <c r="H310" s="56"/>
      <c r="I310" s="56"/>
      <c r="J310" s="56">
        <v>93</v>
      </c>
      <c r="K310" s="2">
        <f t="shared" si="38"/>
        <v>0</v>
      </c>
    </row>
    <row r="311" spans="1:11" ht="18">
      <c r="A311" s="88" t="s">
        <v>228</v>
      </c>
      <c r="B311" s="79">
        <v>108.891</v>
      </c>
      <c r="C311" s="56">
        <v>170</v>
      </c>
      <c r="D311" s="56">
        <v>214</v>
      </c>
      <c r="E311" s="56">
        <v>214</v>
      </c>
      <c r="F311" s="56">
        <v>223</v>
      </c>
      <c r="G311" s="56"/>
      <c r="H311" s="56"/>
      <c r="I311" s="56"/>
      <c r="J311" s="56">
        <v>223</v>
      </c>
      <c r="K311" s="2">
        <f t="shared" si="38"/>
        <v>0</v>
      </c>
    </row>
    <row r="312" spans="1:11" ht="30.75">
      <c r="A312" s="31" t="s">
        <v>229</v>
      </c>
      <c r="B312" s="79">
        <v>7.465</v>
      </c>
      <c r="C312" s="56">
        <v>12</v>
      </c>
      <c r="D312" s="56">
        <v>15</v>
      </c>
      <c r="E312" s="56">
        <v>15</v>
      </c>
      <c r="F312" s="56">
        <v>10</v>
      </c>
      <c r="G312" s="56"/>
      <c r="H312" s="56"/>
      <c r="I312" s="56"/>
      <c r="J312" s="56">
        <v>10</v>
      </c>
      <c r="K312" s="2">
        <f t="shared" si="38"/>
        <v>0</v>
      </c>
    </row>
    <row r="313" spans="1:11" ht="18">
      <c r="A313" s="31" t="s">
        <v>230</v>
      </c>
      <c r="B313" s="56">
        <v>0</v>
      </c>
      <c r="C313" s="56">
        <v>0</v>
      </c>
      <c r="D313" s="56">
        <v>22</v>
      </c>
      <c r="E313" s="56">
        <v>22</v>
      </c>
      <c r="F313" s="56">
        <v>26</v>
      </c>
      <c r="G313" s="56"/>
      <c r="H313" s="56"/>
      <c r="I313" s="56"/>
      <c r="J313" s="56">
        <v>26</v>
      </c>
      <c r="K313" s="2">
        <f t="shared" si="38"/>
        <v>0</v>
      </c>
    </row>
    <row r="314" spans="1:11" ht="18">
      <c r="A314" s="25"/>
      <c r="B314" s="56"/>
      <c r="C314" s="56"/>
      <c r="D314" s="56"/>
      <c r="E314" s="56"/>
      <c r="F314" s="56"/>
      <c r="G314" s="56"/>
      <c r="H314" s="56"/>
      <c r="I314" s="56"/>
      <c r="J314" s="56"/>
      <c r="K314" s="2">
        <f t="shared" si="38"/>
        <v>0</v>
      </c>
    </row>
    <row r="315" spans="1:11" ht="18">
      <c r="A315" s="65" t="s">
        <v>231</v>
      </c>
      <c r="B315" s="56">
        <f>SUM(B316+B328+B332+B335+B336+B337+B338+B339+B341)</f>
        <v>571.969</v>
      </c>
      <c r="C315" s="56">
        <f>SUM(C316+C328+C332+C335+C336+C337+C338+C339+C341)</f>
        <v>4264</v>
      </c>
      <c r="D315" s="56">
        <f>SUM(D316+D328+D332+D335+D336+D337+D338+D339+D341)</f>
        <v>4264</v>
      </c>
      <c r="E315" s="56">
        <f>SUM(E316+E328+E332+E335+E336+E337+E338+E339+E341)</f>
        <v>4264</v>
      </c>
      <c r="F315" s="56">
        <f>SUM(F316+F328+F332+F335+F336+F337+F338+F339+F341)</f>
        <v>4456</v>
      </c>
      <c r="G315" s="77">
        <f>F315*G9/100</f>
        <v>4616.416</v>
      </c>
      <c r="H315" s="77">
        <f>G315*H9/100</f>
        <v>4754.90848</v>
      </c>
      <c r="I315" s="123">
        <f>H315*I9/100-0.5</f>
        <v>4882.791008960001</v>
      </c>
      <c r="J315" s="56">
        <f>SUM(J316+J328+J332+J335+J336+J337+J338+J339+J341)</f>
        <v>4456</v>
      </c>
      <c r="K315" s="2">
        <f t="shared" si="38"/>
        <v>0</v>
      </c>
    </row>
    <row r="316" spans="1:11" ht="18">
      <c r="A316" s="125" t="s">
        <v>115</v>
      </c>
      <c r="B316" s="57">
        <f>SUM(B318:B327)</f>
        <v>488</v>
      </c>
      <c r="C316" s="57">
        <f>SUM(C318:C327)</f>
        <v>3053</v>
      </c>
      <c r="D316" s="57">
        <f>SUM(D318:D327)</f>
        <v>3053</v>
      </c>
      <c r="E316" s="57">
        <f>SUM(E318:E327)</f>
        <v>3053</v>
      </c>
      <c r="F316" s="57">
        <f>SUM(F318:F327)</f>
        <v>3163</v>
      </c>
      <c r="G316" s="57"/>
      <c r="H316" s="57"/>
      <c r="I316" s="57"/>
      <c r="J316" s="57">
        <f>SUM(J318:J327)</f>
        <v>3163</v>
      </c>
      <c r="K316" s="2">
        <f t="shared" si="38"/>
        <v>0</v>
      </c>
    </row>
    <row r="317" spans="1:11" ht="18">
      <c r="A317" s="90" t="s">
        <v>116</v>
      </c>
      <c r="B317" s="56"/>
      <c r="C317" s="56"/>
      <c r="D317" s="56"/>
      <c r="E317" s="56"/>
      <c r="F317" s="56"/>
      <c r="G317" s="56"/>
      <c r="H317" s="56"/>
      <c r="I317" s="56"/>
      <c r="J317" s="56"/>
      <c r="K317" s="2">
        <f t="shared" si="38"/>
        <v>0</v>
      </c>
    </row>
    <row r="318" spans="1:11" ht="18">
      <c r="A318" s="68" t="s">
        <v>232</v>
      </c>
      <c r="B318" s="77">
        <v>100</v>
      </c>
      <c r="C318" s="56">
        <v>105</v>
      </c>
      <c r="D318" s="56">
        <v>105</v>
      </c>
      <c r="E318" s="56">
        <v>105</v>
      </c>
      <c r="F318" s="56">
        <v>110</v>
      </c>
      <c r="G318" s="56"/>
      <c r="H318" s="56"/>
      <c r="I318" s="56"/>
      <c r="J318" s="56">
        <v>110</v>
      </c>
      <c r="K318" s="2">
        <f aca="true" t="shared" si="39" ref="K318:K349">J318-F318</f>
        <v>0</v>
      </c>
    </row>
    <row r="319" spans="1:11" ht="18">
      <c r="A319" s="68" t="s">
        <v>233</v>
      </c>
      <c r="B319" s="79">
        <v>0</v>
      </c>
      <c r="C319" s="56">
        <v>42</v>
      </c>
      <c r="D319" s="56">
        <v>42</v>
      </c>
      <c r="E319" s="56">
        <v>42</v>
      </c>
      <c r="F319" s="56">
        <v>44</v>
      </c>
      <c r="G319" s="56"/>
      <c r="H319" s="56"/>
      <c r="I319" s="56"/>
      <c r="J319" s="56">
        <v>44</v>
      </c>
      <c r="K319" s="2">
        <f t="shared" si="39"/>
        <v>0</v>
      </c>
    </row>
    <row r="320" spans="1:11" ht="18">
      <c r="A320" s="32" t="s">
        <v>119</v>
      </c>
      <c r="B320" s="79">
        <v>300</v>
      </c>
      <c r="C320" s="56">
        <v>313</v>
      </c>
      <c r="D320" s="56">
        <v>313</v>
      </c>
      <c r="E320" s="56">
        <v>313</v>
      </c>
      <c r="F320" s="56">
        <v>327</v>
      </c>
      <c r="G320" s="56"/>
      <c r="H320" s="56"/>
      <c r="I320" s="56"/>
      <c r="J320" s="56">
        <v>327</v>
      </c>
      <c r="K320" s="2">
        <f t="shared" si="39"/>
        <v>0</v>
      </c>
    </row>
    <row r="321" spans="1:11" ht="18">
      <c r="A321" s="68" t="s">
        <v>120</v>
      </c>
      <c r="B321" s="79">
        <v>7</v>
      </c>
      <c r="C321" s="56">
        <v>104</v>
      </c>
      <c r="D321" s="56">
        <v>104</v>
      </c>
      <c r="E321" s="56">
        <v>104</v>
      </c>
      <c r="F321" s="56">
        <v>109</v>
      </c>
      <c r="G321" s="56"/>
      <c r="H321" s="56"/>
      <c r="I321" s="56"/>
      <c r="J321" s="56">
        <v>109</v>
      </c>
      <c r="K321" s="2">
        <f t="shared" si="39"/>
        <v>0</v>
      </c>
    </row>
    <row r="322" spans="1:11" ht="18">
      <c r="A322" s="13" t="s">
        <v>121</v>
      </c>
      <c r="B322" s="79">
        <v>14</v>
      </c>
      <c r="C322" s="56">
        <v>417</v>
      </c>
      <c r="D322" s="56">
        <v>417</v>
      </c>
      <c r="E322" s="56">
        <v>417</v>
      </c>
      <c r="F322" s="56">
        <v>436</v>
      </c>
      <c r="G322" s="56"/>
      <c r="H322" s="56"/>
      <c r="I322" s="56"/>
      <c r="J322" s="56">
        <v>436</v>
      </c>
      <c r="K322" s="2">
        <f t="shared" si="39"/>
        <v>0</v>
      </c>
    </row>
    <row r="323" spans="1:11" ht="18">
      <c r="A323" s="13" t="s">
        <v>122</v>
      </c>
      <c r="B323" s="79">
        <v>0</v>
      </c>
      <c r="C323" s="56">
        <v>63</v>
      </c>
      <c r="D323" s="56">
        <v>63</v>
      </c>
      <c r="E323" s="56">
        <v>63</v>
      </c>
      <c r="F323" s="56">
        <v>66</v>
      </c>
      <c r="G323" s="56"/>
      <c r="H323" s="56"/>
      <c r="I323" s="56"/>
      <c r="J323" s="56">
        <v>66</v>
      </c>
      <c r="K323" s="2">
        <f t="shared" si="39"/>
        <v>0</v>
      </c>
    </row>
    <row r="324" spans="1:11" ht="18">
      <c r="A324" s="13" t="s">
        <v>123</v>
      </c>
      <c r="B324" s="79">
        <v>0</v>
      </c>
      <c r="C324" s="56">
        <v>7</v>
      </c>
      <c r="D324" s="56">
        <v>7</v>
      </c>
      <c r="E324" s="56">
        <v>7</v>
      </c>
      <c r="F324" s="56">
        <v>7</v>
      </c>
      <c r="G324" s="56"/>
      <c r="H324" s="56"/>
      <c r="I324" s="56"/>
      <c r="J324" s="56">
        <v>7</v>
      </c>
      <c r="K324" s="2">
        <f t="shared" si="39"/>
        <v>0</v>
      </c>
    </row>
    <row r="325" spans="1:11" ht="30.75">
      <c r="A325" s="22" t="s">
        <v>234</v>
      </c>
      <c r="B325" s="79">
        <v>0</v>
      </c>
      <c r="C325" s="56">
        <v>835</v>
      </c>
      <c r="D325" s="56">
        <v>835</v>
      </c>
      <c r="E325" s="56">
        <v>835</v>
      </c>
      <c r="F325" s="56">
        <v>873</v>
      </c>
      <c r="G325" s="56"/>
      <c r="H325" s="56"/>
      <c r="I325" s="56"/>
      <c r="J325" s="56">
        <v>873</v>
      </c>
      <c r="K325" s="2">
        <f t="shared" si="39"/>
        <v>0</v>
      </c>
    </row>
    <row r="326" spans="1:11" ht="30.75">
      <c r="A326" s="22" t="s">
        <v>125</v>
      </c>
      <c r="B326" s="79">
        <v>37</v>
      </c>
      <c r="C326" s="56">
        <v>35</v>
      </c>
      <c r="D326" s="56">
        <v>35</v>
      </c>
      <c r="E326" s="56">
        <v>35</v>
      </c>
      <c r="F326" s="56">
        <v>37</v>
      </c>
      <c r="G326" s="56"/>
      <c r="H326" s="56"/>
      <c r="I326" s="56"/>
      <c r="J326" s="56">
        <v>37</v>
      </c>
      <c r="K326" s="2">
        <f t="shared" si="39"/>
        <v>0</v>
      </c>
    </row>
    <row r="327" spans="1:11" ht="30.75">
      <c r="A327" s="127" t="s">
        <v>235</v>
      </c>
      <c r="B327" s="79">
        <v>30</v>
      </c>
      <c r="C327" s="56">
        <v>1132</v>
      </c>
      <c r="D327" s="56">
        <v>1132</v>
      </c>
      <c r="E327" s="56">
        <v>1132</v>
      </c>
      <c r="F327" s="56">
        <v>1154</v>
      </c>
      <c r="G327" s="56"/>
      <c r="H327" s="56"/>
      <c r="I327" s="56"/>
      <c r="J327" s="56">
        <v>1154</v>
      </c>
      <c r="K327" s="2">
        <f t="shared" si="39"/>
        <v>0</v>
      </c>
    </row>
    <row r="328" spans="1:11" ht="18">
      <c r="A328" s="124" t="s">
        <v>236</v>
      </c>
      <c r="B328" s="77">
        <f>B329</f>
        <v>26</v>
      </c>
      <c r="C328" s="56">
        <f>C329</f>
        <v>290</v>
      </c>
      <c r="D328" s="56">
        <f>D329</f>
        <v>290</v>
      </c>
      <c r="E328" s="56">
        <f>E329</f>
        <v>290</v>
      </c>
      <c r="F328" s="56">
        <f>F329</f>
        <v>303</v>
      </c>
      <c r="G328" s="56"/>
      <c r="H328" s="56"/>
      <c r="I328" s="56"/>
      <c r="J328" s="56">
        <f>J329</f>
        <v>303</v>
      </c>
      <c r="K328" s="2">
        <f t="shared" si="39"/>
        <v>0</v>
      </c>
    </row>
    <row r="329" spans="1:11" ht="18">
      <c r="A329" s="13" t="s">
        <v>140</v>
      </c>
      <c r="B329" s="77">
        <v>26</v>
      </c>
      <c r="C329" s="56">
        <v>290</v>
      </c>
      <c r="D329" s="56">
        <v>290</v>
      </c>
      <c r="E329" s="56">
        <v>290</v>
      </c>
      <c r="F329" s="56">
        <v>303</v>
      </c>
      <c r="G329" s="56"/>
      <c r="H329" s="56"/>
      <c r="I329" s="56"/>
      <c r="J329" s="56">
        <v>303</v>
      </c>
      <c r="K329" s="2">
        <f t="shared" si="39"/>
        <v>0</v>
      </c>
    </row>
    <row r="330" spans="1:11" ht="18">
      <c r="A330" s="90" t="s">
        <v>237</v>
      </c>
      <c r="B330" s="79"/>
      <c r="C330" s="56"/>
      <c r="D330" s="56"/>
      <c r="E330" s="56"/>
      <c r="F330" s="56"/>
      <c r="G330" s="56"/>
      <c r="H330" s="56"/>
      <c r="I330" s="56"/>
      <c r="J330" s="56"/>
      <c r="K330" s="2">
        <f t="shared" si="39"/>
        <v>0</v>
      </c>
    </row>
    <row r="331" spans="1:11" ht="18">
      <c r="A331" s="13" t="s">
        <v>238</v>
      </c>
      <c r="B331" s="79"/>
      <c r="C331" s="56"/>
      <c r="D331" s="56"/>
      <c r="E331" s="56"/>
      <c r="F331" s="56"/>
      <c r="G331" s="56"/>
      <c r="H331" s="56"/>
      <c r="I331" s="56"/>
      <c r="J331" s="56"/>
      <c r="K331" s="2">
        <f t="shared" si="39"/>
        <v>0</v>
      </c>
    </row>
    <row r="332" spans="1:11" ht="18">
      <c r="A332" s="124" t="s">
        <v>142</v>
      </c>
      <c r="B332" s="57">
        <f>B333+B334</f>
        <v>10</v>
      </c>
      <c r="C332" s="57">
        <f>C333+C334</f>
        <v>41</v>
      </c>
      <c r="D332" s="57">
        <f>D333+D334</f>
        <v>41</v>
      </c>
      <c r="E332" s="57">
        <f>E333+E334</f>
        <v>41</v>
      </c>
      <c r="F332" s="57">
        <f>F333+F334</f>
        <v>43</v>
      </c>
      <c r="G332" s="57"/>
      <c r="H332" s="57"/>
      <c r="I332" s="57"/>
      <c r="J332" s="57">
        <f>J333+J334</f>
        <v>43</v>
      </c>
      <c r="K332" s="2">
        <f t="shared" si="39"/>
        <v>0</v>
      </c>
    </row>
    <row r="333" spans="1:11" ht="18">
      <c r="A333" s="13" t="s">
        <v>239</v>
      </c>
      <c r="B333" s="77">
        <v>9</v>
      </c>
      <c r="C333" s="56">
        <v>29</v>
      </c>
      <c r="D333" s="56">
        <v>29</v>
      </c>
      <c r="E333" s="56">
        <v>29</v>
      </c>
      <c r="F333" s="56">
        <v>30</v>
      </c>
      <c r="G333" s="56"/>
      <c r="H333" s="56"/>
      <c r="I333" s="56"/>
      <c r="J333" s="56">
        <v>30</v>
      </c>
      <c r="K333" s="2">
        <f t="shared" si="39"/>
        <v>0</v>
      </c>
    </row>
    <row r="334" spans="1:11" ht="18">
      <c r="A334" s="13" t="s">
        <v>240</v>
      </c>
      <c r="B334" s="79">
        <v>1</v>
      </c>
      <c r="C334" s="56">
        <v>12</v>
      </c>
      <c r="D334" s="56">
        <v>12</v>
      </c>
      <c r="E334" s="56">
        <v>12</v>
      </c>
      <c r="F334" s="56">
        <v>13</v>
      </c>
      <c r="G334" s="56"/>
      <c r="H334" s="56"/>
      <c r="I334" s="56"/>
      <c r="J334" s="56">
        <v>13</v>
      </c>
      <c r="K334" s="2">
        <f t="shared" si="39"/>
        <v>0</v>
      </c>
    </row>
    <row r="335" spans="1:11" ht="18">
      <c r="A335" s="124" t="s">
        <v>150</v>
      </c>
      <c r="B335" s="79">
        <v>23.969</v>
      </c>
      <c r="C335" s="56">
        <v>57</v>
      </c>
      <c r="D335" s="56">
        <v>57</v>
      </c>
      <c r="E335" s="56">
        <v>57</v>
      </c>
      <c r="F335" s="56">
        <v>60</v>
      </c>
      <c r="G335" s="56"/>
      <c r="H335" s="56"/>
      <c r="I335" s="56"/>
      <c r="J335" s="56">
        <v>60</v>
      </c>
      <c r="K335" s="2">
        <f t="shared" si="39"/>
        <v>0</v>
      </c>
    </row>
    <row r="336" spans="1:11" ht="18">
      <c r="A336" s="124" t="s">
        <v>151</v>
      </c>
      <c r="B336" s="79">
        <v>0</v>
      </c>
      <c r="C336" s="56"/>
      <c r="D336" s="56">
        <v>28</v>
      </c>
      <c r="E336" s="56">
        <v>28</v>
      </c>
      <c r="F336" s="56">
        <v>29</v>
      </c>
      <c r="G336" s="56"/>
      <c r="H336" s="56"/>
      <c r="I336" s="56"/>
      <c r="J336" s="56">
        <v>29</v>
      </c>
      <c r="K336" s="2">
        <f t="shared" si="39"/>
        <v>0</v>
      </c>
    </row>
    <row r="337" spans="1:11" ht="18">
      <c r="A337" s="124" t="s">
        <v>241</v>
      </c>
      <c r="B337" s="79">
        <v>0</v>
      </c>
      <c r="C337" s="56">
        <v>50</v>
      </c>
      <c r="D337" s="56">
        <v>50</v>
      </c>
      <c r="E337" s="56">
        <v>50</v>
      </c>
      <c r="F337" s="56">
        <v>52</v>
      </c>
      <c r="G337" s="56"/>
      <c r="H337" s="56"/>
      <c r="I337" s="56"/>
      <c r="J337" s="56">
        <v>52</v>
      </c>
      <c r="K337" s="2">
        <f t="shared" si="39"/>
        <v>0</v>
      </c>
    </row>
    <row r="338" spans="1:11" ht="18">
      <c r="A338" s="124" t="s">
        <v>153</v>
      </c>
      <c r="B338" s="79">
        <v>0</v>
      </c>
      <c r="C338" s="56"/>
      <c r="D338" s="56"/>
      <c r="E338" s="56"/>
      <c r="F338" s="56">
        <v>0</v>
      </c>
      <c r="G338" s="56"/>
      <c r="H338" s="56"/>
      <c r="I338" s="56"/>
      <c r="J338" s="56">
        <v>0</v>
      </c>
      <c r="K338" s="2">
        <f t="shared" si="39"/>
        <v>0</v>
      </c>
    </row>
    <row r="339" spans="1:11" ht="30.75">
      <c r="A339" s="128" t="s">
        <v>154</v>
      </c>
      <c r="B339" s="79">
        <f>B340</f>
        <v>0</v>
      </c>
      <c r="C339" s="56">
        <f>C340</f>
        <v>0</v>
      </c>
      <c r="D339" s="56">
        <f>D340</f>
        <v>0</v>
      </c>
      <c r="E339" s="56">
        <f>E340</f>
        <v>0</v>
      </c>
      <c r="F339" s="56">
        <f>F340</f>
        <v>0</v>
      </c>
      <c r="G339" s="56"/>
      <c r="H339" s="56"/>
      <c r="I339" s="56"/>
      <c r="J339" s="56">
        <f>J340</f>
        <v>0</v>
      </c>
      <c r="K339" s="2">
        <f t="shared" si="39"/>
        <v>0</v>
      </c>
    </row>
    <row r="340" spans="1:11" ht="30.75">
      <c r="A340" s="127" t="s">
        <v>242</v>
      </c>
      <c r="B340" s="79">
        <v>0</v>
      </c>
      <c r="C340" s="56">
        <v>0</v>
      </c>
      <c r="D340" s="56">
        <v>0</v>
      </c>
      <c r="E340" s="56">
        <v>0</v>
      </c>
      <c r="F340" s="56">
        <v>0</v>
      </c>
      <c r="G340" s="56"/>
      <c r="H340" s="56"/>
      <c r="I340" s="56"/>
      <c r="J340" s="56">
        <v>0</v>
      </c>
      <c r="K340" s="2">
        <f t="shared" si="39"/>
        <v>0</v>
      </c>
    </row>
    <row r="341" spans="1:11" ht="18">
      <c r="A341" s="124" t="s">
        <v>156</v>
      </c>
      <c r="B341" s="77">
        <f>B342+B343+B344+B345</f>
        <v>24</v>
      </c>
      <c r="C341" s="77">
        <f>C342+C343+C344+C345</f>
        <v>773</v>
      </c>
      <c r="D341" s="77">
        <f>D342+D343+D344+D345</f>
        <v>745</v>
      </c>
      <c r="E341" s="77">
        <f>E342+E343+E344+E345</f>
        <v>745</v>
      </c>
      <c r="F341" s="77">
        <f>F342+F343+F344+F345</f>
        <v>806</v>
      </c>
      <c r="G341" s="77"/>
      <c r="H341" s="77"/>
      <c r="I341" s="77"/>
      <c r="J341" s="77">
        <f>J342+J343+J344+J345</f>
        <v>806</v>
      </c>
      <c r="K341" s="2">
        <f t="shared" si="39"/>
        <v>0</v>
      </c>
    </row>
    <row r="342" spans="1:11" ht="18">
      <c r="A342" s="13" t="s">
        <v>157</v>
      </c>
      <c r="B342" s="79">
        <v>0</v>
      </c>
      <c r="C342" s="56"/>
      <c r="D342" s="56"/>
      <c r="E342" s="56"/>
      <c r="F342" s="56">
        <v>0</v>
      </c>
      <c r="G342" s="56"/>
      <c r="H342" s="56"/>
      <c r="I342" s="56"/>
      <c r="J342" s="56">
        <v>0</v>
      </c>
      <c r="K342" s="2">
        <f t="shared" si="39"/>
        <v>0</v>
      </c>
    </row>
    <row r="343" spans="1:11" ht="18">
      <c r="A343" s="13" t="s">
        <v>158</v>
      </c>
      <c r="B343" s="79">
        <v>0</v>
      </c>
      <c r="C343" s="56"/>
      <c r="D343" s="56"/>
      <c r="E343" s="56"/>
      <c r="F343" s="56">
        <v>0</v>
      </c>
      <c r="G343" s="56"/>
      <c r="H343" s="56"/>
      <c r="I343" s="56"/>
      <c r="J343" s="56">
        <v>0</v>
      </c>
      <c r="K343" s="2">
        <f t="shared" si="39"/>
        <v>0</v>
      </c>
    </row>
    <row r="344" spans="1:11" ht="30.75">
      <c r="A344" s="127" t="s">
        <v>243</v>
      </c>
      <c r="B344" s="79">
        <v>0</v>
      </c>
      <c r="C344" s="56"/>
      <c r="D344" s="56"/>
      <c r="E344" s="56"/>
      <c r="F344" s="56">
        <v>0</v>
      </c>
      <c r="G344" s="56"/>
      <c r="H344" s="56"/>
      <c r="I344" s="56"/>
      <c r="J344" s="56">
        <v>0</v>
      </c>
      <c r="K344" s="2">
        <f t="shared" si="39"/>
        <v>0</v>
      </c>
    </row>
    <row r="345" spans="1:11" ht="18">
      <c r="A345" s="13" t="s">
        <v>244</v>
      </c>
      <c r="B345" s="79">
        <v>24</v>
      </c>
      <c r="C345" s="56">
        <v>773</v>
      </c>
      <c r="D345" s="56">
        <v>745</v>
      </c>
      <c r="E345" s="56">
        <v>745</v>
      </c>
      <c r="F345" s="56">
        <v>806</v>
      </c>
      <c r="G345" s="56"/>
      <c r="H345" s="56"/>
      <c r="I345" s="56"/>
      <c r="J345" s="56">
        <v>806</v>
      </c>
      <c r="K345" s="2">
        <f t="shared" si="39"/>
        <v>0</v>
      </c>
    </row>
    <row r="346" spans="1:11" ht="18">
      <c r="A346" s="90" t="s">
        <v>237</v>
      </c>
      <c r="B346" s="79"/>
      <c r="C346" s="56"/>
      <c r="D346" s="56"/>
      <c r="E346" s="56"/>
      <c r="F346" s="56"/>
      <c r="G346" s="56"/>
      <c r="H346" s="56"/>
      <c r="I346" s="56"/>
      <c r="J346" s="56"/>
      <c r="K346" s="2">
        <f t="shared" si="39"/>
        <v>0</v>
      </c>
    </row>
    <row r="347" spans="1:11" ht="18">
      <c r="A347" s="13" t="s">
        <v>245</v>
      </c>
      <c r="B347" s="79"/>
      <c r="C347" s="56"/>
      <c r="D347" s="56"/>
      <c r="E347" s="56"/>
      <c r="F347" s="56"/>
      <c r="G347" s="56"/>
      <c r="H347" s="56"/>
      <c r="I347" s="56"/>
      <c r="J347" s="56"/>
      <c r="K347" s="2">
        <f t="shared" si="39"/>
        <v>0</v>
      </c>
    </row>
    <row r="348" spans="1:11" ht="18">
      <c r="A348" s="2"/>
      <c r="B348" s="79"/>
      <c r="C348" s="56"/>
      <c r="D348" s="56"/>
      <c r="E348" s="56"/>
      <c r="F348" s="56"/>
      <c r="G348" s="56"/>
      <c r="H348" s="56"/>
      <c r="I348" s="56"/>
      <c r="J348" s="56"/>
      <c r="K348" s="2">
        <f t="shared" si="39"/>
        <v>0</v>
      </c>
    </row>
    <row r="349" spans="1:11" ht="31.5">
      <c r="A349" s="76" t="s">
        <v>246</v>
      </c>
      <c r="B349" s="56">
        <v>0</v>
      </c>
      <c r="C349" s="56">
        <v>0</v>
      </c>
      <c r="D349" s="56">
        <v>0</v>
      </c>
      <c r="E349" s="56">
        <v>0</v>
      </c>
      <c r="F349" s="56">
        <v>0</v>
      </c>
      <c r="G349" s="56">
        <v>0</v>
      </c>
      <c r="H349" s="56">
        <v>0</v>
      </c>
      <c r="I349" s="56">
        <v>0</v>
      </c>
      <c r="J349" s="56">
        <v>0</v>
      </c>
      <c r="K349" s="2">
        <f t="shared" si="39"/>
        <v>0</v>
      </c>
    </row>
    <row r="350" spans="1:11" ht="18">
      <c r="A350" s="61"/>
      <c r="B350" s="56"/>
      <c r="C350" s="56"/>
      <c r="D350" s="56"/>
      <c r="E350" s="56"/>
      <c r="F350" s="56"/>
      <c r="G350" s="56"/>
      <c r="H350" s="56"/>
      <c r="I350" s="56"/>
      <c r="J350" s="56"/>
      <c r="K350" s="2">
        <f aca="true" t="shared" si="40" ref="K350:K381">J350-F350</f>
        <v>0</v>
      </c>
    </row>
    <row r="351" spans="1:11" ht="18">
      <c r="A351" s="61" t="s">
        <v>247</v>
      </c>
      <c r="B351" s="77">
        <f>SUM(B353+B358)</f>
        <v>1107.313</v>
      </c>
      <c r="C351" s="77">
        <f>SUM(C353+C358)</f>
        <v>3857</v>
      </c>
      <c r="D351" s="77">
        <f>SUM(D353+D358)</f>
        <v>3857</v>
      </c>
      <c r="E351" s="77">
        <f>SUM(E353+E358)</f>
        <v>3357</v>
      </c>
      <c r="F351" s="77">
        <f>SUM(F353+F358)</f>
        <v>4031</v>
      </c>
      <c r="G351" s="107">
        <f>F351*G9/100-5</f>
        <v>4171.116</v>
      </c>
      <c r="H351" s="123">
        <f>G351*H9/100+1</f>
        <v>4297.2494799999995</v>
      </c>
      <c r="I351" s="111">
        <f>H351*I9/100+12</f>
        <v>4425.2752159599995</v>
      </c>
      <c r="J351" s="77">
        <f>SUM(J353+J358)</f>
        <v>4031</v>
      </c>
      <c r="K351" s="2">
        <f t="shared" si="40"/>
        <v>0</v>
      </c>
    </row>
    <row r="352" spans="1:11" ht="18">
      <c r="A352" s="32" t="s">
        <v>248</v>
      </c>
      <c r="B352" s="79"/>
      <c r="C352" s="79"/>
      <c r="D352" s="79"/>
      <c r="E352" s="79"/>
      <c r="F352" s="79"/>
      <c r="G352" s="79"/>
      <c r="H352" s="79"/>
      <c r="I352" s="79"/>
      <c r="J352" s="79"/>
      <c r="K352" s="2">
        <f t="shared" si="40"/>
        <v>0</v>
      </c>
    </row>
    <row r="353" spans="1:11" ht="18">
      <c r="A353" s="32" t="s">
        <v>249</v>
      </c>
      <c r="B353" s="77">
        <f>SUM(B354+B355+B356+B357)</f>
        <v>1107.313</v>
      </c>
      <c r="C353" s="77">
        <f>SUM(C354+C355+C356+C357)</f>
        <v>3857</v>
      </c>
      <c r="D353" s="77">
        <f>SUM(D354+D355+D356+D357)</f>
        <v>3857</v>
      </c>
      <c r="E353" s="77">
        <f>SUM(E354+E355+E356+E357)</f>
        <v>3357</v>
      </c>
      <c r="F353" s="77">
        <f>SUM(F354+F355+F356+F357)</f>
        <v>3320</v>
      </c>
      <c r="G353" s="77"/>
      <c r="H353" s="77"/>
      <c r="I353" s="77"/>
      <c r="J353" s="77">
        <f>SUM(J354+J355+J356+J357)</f>
        <v>3320</v>
      </c>
      <c r="K353" s="2">
        <f t="shared" si="40"/>
        <v>0</v>
      </c>
    </row>
    <row r="354" spans="1:11" ht="18">
      <c r="A354" s="32" t="s">
        <v>169</v>
      </c>
      <c r="B354" s="57">
        <v>0</v>
      </c>
      <c r="C354" s="56">
        <v>1854</v>
      </c>
      <c r="D354" s="56">
        <v>1854</v>
      </c>
      <c r="E354" s="56">
        <v>1354</v>
      </c>
      <c r="F354" s="56">
        <v>1937</v>
      </c>
      <c r="G354" s="56"/>
      <c r="H354" s="56"/>
      <c r="I354" s="56"/>
      <c r="J354" s="56">
        <v>1937</v>
      </c>
      <c r="K354" s="2">
        <f t="shared" si="40"/>
        <v>0</v>
      </c>
    </row>
    <row r="355" spans="1:11" ht="30.75">
      <c r="A355" s="98" t="s">
        <v>170</v>
      </c>
      <c r="B355" s="56">
        <v>0</v>
      </c>
      <c r="C355" s="56"/>
      <c r="D355" s="56"/>
      <c r="E355" s="56"/>
      <c r="F355" s="56">
        <v>0</v>
      </c>
      <c r="G355" s="56"/>
      <c r="H355" s="56"/>
      <c r="I355" s="56"/>
      <c r="J355" s="56">
        <v>0</v>
      </c>
      <c r="K355" s="2">
        <f t="shared" si="40"/>
        <v>0</v>
      </c>
    </row>
    <row r="356" spans="1:11" ht="30.75">
      <c r="A356" s="98" t="s">
        <v>171</v>
      </c>
      <c r="B356" s="56">
        <v>0</v>
      </c>
      <c r="C356" s="56">
        <v>1323</v>
      </c>
      <c r="D356" s="56">
        <v>1323</v>
      </c>
      <c r="E356" s="56">
        <v>1323</v>
      </c>
      <c r="F356" s="56">
        <v>1383</v>
      </c>
      <c r="G356" s="56"/>
      <c r="H356" s="56"/>
      <c r="I356" s="56"/>
      <c r="J356" s="56">
        <v>1383</v>
      </c>
      <c r="K356" s="2">
        <f t="shared" si="40"/>
        <v>0</v>
      </c>
    </row>
    <row r="357" spans="1:11" ht="18">
      <c r="A357" s="32" t="s">
        <v>250</v>
      </c>
      <c r="B357" s="77">
        <v>1107.313</v>
      </c>
      <c r="C357" s="56">
        <v>680</v>
      </c>
      <c r="D357" s="56">
        <v>680</v>
      </c>
      <c r="E357" s="56">
        <v>680</v>
      </c>
      <c r="F357" s="56">
        <v>0</v>
      </c>
      <c r="G357" s="56"/>
      <c r="H357" s="56"/>
      <c r="I357" s="56"/>
      <c r="J357" s="56">
        <v>0</v>
      </c>
      <c r="K357" s="2">
        <f t="shared" si="40"/>
        <v>0</v>
      </c>
    </row>
    <row r="358" spans="1:11" ht="18">
      <c r="A358" s="32" t="s">
        <v>251</v>
      </c>
      <c r="B358" s="56">
        <v>0</v>
      </c>
      <c r="C358" s="56"/>
      <c r="D358" s="56">
        <v>0</v>
      </c>
      <c r="E358" s="56">
        <v>0</v>
      </c>
      <c r="F358" s="56">
        <v>711</v>
      </c>
      <c r="G358" s="56"/>
      <c r="H358" s="56"/>
      <c r="I358" s="56"/>
      <c r="J358" s="56">
        <v>711</v>
      </c>
      <c r="K358" s="2">
        <f t="shared" si="40"/>
        <v>0</v>
      </c>
    </row>
    <row r="359" spans="1:11" ht="18">
      <c r="A359" s="32" t="s">
        <v>174</v>
      </c>
      <c r="B359" s="56"/>
      <c r="C359" s="56"/>
      <c r="D359" s="56"/>
      <c r="E359" s="56"/>
      <c r="F359" s="56"/>
      <c r="G359" s="56"/>
      <c r="H359" s="56"/>
      <c r="I359" s="56"/>
      <c r="J359" s="56"/>
      <c r="K359" s="2">
        <f t="shared" si="40"/>
        <v>0</v>
      </c>
    </row>
    <row r="360" spans="1:11" ht="18">
      <c r="A360" s="32" t="s">
        <v>252</v>
      </c>
      <c r="B360" s="56"/>
      <c r="C360" s="56"/>
      <c r="D360" s="56"/>
      <c r="E360" s="56"/>
      <c r="F360" s="56"/>
      <c r="G360" s="56"/>
      <c r="H360" s="56"/>
      <c r="I360" s="56"/>
      <c r="J360" s="56"/>
      <c r="K360" s="2">
        <f t="shared" si="40"/>
        <v>0</v>
      </c>
    </row>
    <row r="361" spans="1:11" ht="18">
      <c r="A361" s="32" t="s">
        <v>253</v>
      </c>
      <c r="B361" s="56"/>
      <c r="C361" s="56"/>
      <c r="D361" s="56"/>
      <c r="E361" s="56"/>
      <c r="F361" s="56"/>
      <c r="G361" s="56"/>
      <c r="H361" s="56"/>
      <c r="I361" s="56"/>
      <c r="J361" s="56"/>
      <c r="K361" s="2">
        <f t="shared" si="40"/>
        <v>0</v>
      </c>
    </row>
    <row r="362" spans="1:11" ht="18">
      <c r="A362" s="32"/>
      <c r="B362" s="56"/>
      <c r="C362" s="56"/>
      <c r="D362" s="56"/>
      <c r="E362" s="56"/>
      <c r="F362" s="56"/>
      <c r="G362" s="56"/>
      <c r="H362" s="56"/>
      <c r="I362" s="56"/>
      <c r="J362" s="56"/>
      <c r="K362" s="2">
        <f t="shared" si="40"/>
        <v>0</v>
      </c>
    </row>
    <row r="363" spans="1:11" ht="31.5">
      <c r="A363" s="76" t="s">
        <v>254</v>
      </c>
      <c r="B363" s="56">
        <v>0</v>
      </c>
      <c r="C363" s="57">
        <v>0</v>
      </c>
      <c r="D363" s="57">
        <v>0</v>
      </c>
      <c r="E363" s="57">
        <v>0</v>
      </c>
      <c r="F363" s="57">
        <v>0</v>
      </c>
      <c r="G363" s="57">
        <v>0</v>
      </c>
      <c r="H363" s="57">
        <v>0</v>
      </c>
      <c r="I363" s="57">
        <v>0</v>
      </c>
      <c r="J363" s="57">
        <v>0</v>
      </c>
      <c r="K363" s="2">
        <f t="shared" si="40"/>
        <v>0</v>
      </c>
    </row>
    <row r="364" spans="1:11" ht="18">
      <c r="A364" s="32"/>
      <c r="B364" s="56"/>
      <c r="C364" s="56"/>
      <c r="D364" s="56"/>
      <c r="E364" s="56"/>
      <c r="F364" s="56"/>
      <c r="G364" s="56"/>
      <c r="H364" s="56"/>
      <c r="I364" s="56"/>
      <c r="J364" s="56"/>
      <c r="K364" s="2">
        <f t="shared" si="40"/>
        <v>0</v>
      </c>
    </row>
    <row r="365" spans="1:11" ht="18">
      <c r="A365" s="14"/>
      <c r="B365" s="54"/>
      <c r="C365" s="54"/>
      <c r="D365" s="54"/>
      <c r="E365" s="54"/>
      <c r="F365" s="54"/>
      <c r="G365" s="54"/>
      <c r="H365" s="54"/>
      <c r="I365" s="54"/>
      <c r="J365" s="54"/>
      <c r="K365" s="2">
        <f t="shared" si="40"/>
        <v>0</v>
      </c>
    </row>
    <row r="366" spans="1:11" ht="18">
      <c r="A366" s="5" t="s">
        <v>255</v>
      </c>
      <c r="B366" s="56"/>
      <c r="C366" s="56"/>
      <c r="D366" s="56"/>
      <c r="E366" s="56"/>
      <c r="F366" s="56"/>
      <c r="G366" s="56"/>
      <c r="H366" s="56"/>
      <c r="I366" s="56" t="s">
        <v>294</v>
      </c>
      <c r="J366" s="56"/>
      <c r="K366" s="2">
        <f t="shared" si="40"/>
        <v>0</v>
      </c>
    </row>
    <row r="367" spans="1:11" ht="18">
      <c r="A367" s="59" t="s">
        <v>256</v>
      </c>
      <c r="B367" s="129">
        <v>2005</v>
      </c>
      <c r="C367" s="130">
        <v>2006</v>
      </c>
      <c r="D367" s="130" t="s">
        <v>285</v>
      </c>
      <c r="E367" s="130" t="s">
        <v>287</v>
      </c>
      <c r="F367" s="130">
        <v>2007</v>
      </c>
      <c r="G367" s="39">
        <v>2008</v>
      </c>
      <c r="H367" s="39">
        <v>2009</v>
      </c>
      <c r="I367" s="131">
        <v>2010</v>
      </c>
      <c r="J367" s="130">
        <v>2007</v>
      </c>
      <c r="K367" s="132">
        <f t="shared" si="40"/>
        <v>0</v>
      </c>
    </row>
    <row r="368" spans="1:11" ht="18">
      <c r="A368" s="25"/>
      <c r="B368" s="54"/>
      <c r="C368" s="54"/>
      <c r="D368" s="54"/>
      <c r="E368" s="54"/>
      <c r="F368" s="54"/>
      <c r="G368" s="54"/>
      <c r="H368" s="54"/>
      <c r="I368" s="54"/>
      <c r="J368" s="54"/>
      <c r="K368" s="2">
        <f t="shared" si="40"/>
        <v>0</v>
      </c>
    </row>
    <row r="369" spans="1:11" ht="18">
      <c r="A369" s="25" t="s">
        <v>257</v>
      </c>
      <c r="B369" s="67">
        <f aca="true" t="shared" si="41" ref="B369:J369">B370+B371</f>
        <v>17734728.089999996</v>
      </c>
      <c r="C369" s="67">
        <f t="shared" si="41"/>
        <v>19077068.04</v>
      </c>
      <c r="D369" s="67">
        <f t="shared" si="41"/>
        <v>18491609.03</v>
      </c>
      <c r="E369" s="67">
        <f t="shared" si="41"/>
        <v>18565109.214</v>
      </c>
      <c r="F369" s="67">
        <f t="shared" si="41"/>
        <v>22332737.12</v>
      </c>
      <c r="G369" s="67">
        <f t="shared" si="41"/>
        <v>27425572.252000004</v>
      </c>
      <c r="H369" s="67">
        <f t="shared" si="41"/>
        <v>28298331.571160004</v>
      </c>
      <c r="I369" s="67">
        <f t="shared" si="41"/>
        <v>30977518.22390092</v>
      </c>
      <c r="J369" s="67">
        <f t="shared" si="41"/>
        <v>22353977.12</v>
      </c>
      <c r="K369" s="2">
        <f t="shared" si="40"/>
        <v>21240</v>
      </c>
    </row>
    <row r="370" spans="1:11" ht="18">
      <c r="A370" s="13" t="s">
        <v>258</v>
      </c>
      <c r="B370" s="57">
        <f aca="true" t="shared" si="42" ref="B370:J370">SUM(B65+B76+B84+B92+B100+B104+B109+B111)</f>
        <v>17364954.321999997</v>
      </c>
      <c r="C370" s="57">
        <f t="shared" si="42"/>
        <v>18676307.04</v>
      </c>
      <c r="D370" s="57">
        <f t="shared" si="42"/>
        <v>18015243.03</v>
      </c>
      <c r="E370" s="57">
        <f t="shared" si="42"/>
        <v>18097991.214</v>
      </c>
      <c r="F370" s="57">
        <f t="shared" si="42"/>
        <v>21789281.12</v>
      </c>
      <c r="G370" s="57">
        <f t="shared" si="42"/>
        <v>26868678.200000003</v>
      </c>
      <c r="H370" s="57">
        <f t="shared" si="42"/>
        <v>27725606.950000003</v>
      </c>
      <c r="I370" s="57">
        <f t="shared" si="42"/>
        <v>30389992.5</v>
      </c>
      <c r="J370" s="57">
        <f t="shared" si="42"/>
        <v>21810521.12</v>
      </c>
      <c r="K370" s="2">
        <f t="shared" si="40"/>
        <v>21240</v>
      </c>
    </row>
    <row r="371" spans="1:11" ht="18">
      <c r="A371" s="13" t="s">
        <v>259</v>
      </c>
      <c r="B371" s="56">
        <f aca="true" t="shared" si="43" ref="B371:J371">B115</f>
        <v>369773.7679999999</v>
      </c>
      <c r="C371" s="56">
        <f t="shared" si="43"/>
        <v>400761</v>
      </c>
      <c r="D371" s="56">
        <f t="shared" si="43"/>
        <v>476366</v>
      </c>
      <c r="E371" s="56">
        <f t="shared" si="43"/>
        <v>467118</v>
      </c>
      <c r="F371" s="56">
        <f t="shared" si="43"/>
        <v>543456</v>
      </c>
      <c r="G371" s="56">
        <f t="shared" si="43"/>
        <v>556894.052</v>
      </c>
      <c r="H371" s="56">
        <f t="shared" si="43"/>
        <v>572724.62116</v>
      </c>
      <c r="I371" s="56">
        <f t="shared" si="43"/>
        <v>587525.72390092</v>
      </c>
      <c r="J371" s="56">
        <f t="shared" si="43"/>
        <v>543456</v>
      </c>
      <c r="K371" s="2">
        <f t="shared" si="40"/>
        <v>0</v>
      </c>
    </row>
    <row r="372" spans="1:11" ht="18">
      <c r="A372" s="13" t="s">
        <v>260</v>
      </c>
      <c r="B372" s="56">
        <f aca="true" t="shared" si="44" ref="B372:J372">B117</f>
        <v>81766.628</v>
      </c>
      <c r="C372" s="56">
        <f t="shared" si="44"/>
        <v>70577</v>
      </c>
      <c r="D372" s="56">
        <f t="shared" si="44"/>
        <v>98449</v>
      </c>
      <c r="E372" s="56">
        <f t="shared" si="44"/>
        <v>98449</v>
      </c>
      <c r="F372" s="56">
        <f t="shared" si="44"/>
        <v>101973</v>
      </c>
      <c r="G372" s="56">
        <f t="shared" si="44"/>
        <v>106051.52</v>
      </c>
      <c r="H372" s="56">
        <f t="shared" si="44"/>
        <v>109763.3232</v>
      </c>
      <c r="I372" s="56">
        <f t="shared" si="44"/>
        <v>113056.22289599999</v>
      </c>
      <c r="J372" s="56">
        <f t="shared" si="44"/>
        <v>101973</v>
      </c>
      <c r="K372" s="2">
        <f t="shared" si="40"/>
        <v>0</v>
      </c>
    </row>
    <row r="373" spans="1:11" ht="18">
      <c r="A373" s="13" t="s">
        <v>261</v>
      </c>
      <c r="B373" s="56">
        <f aca="true" t="shared" si="45" ref="B373:J373">B154</f>
        <v>232856.734</v>
      </c>
      <c r="C373" s="56">
        <f t="shared" si="45"/>
        <v>266456</v>
      </c>
      <c r="D373" s="56">
        <f t="shared" si="45"/>
        <v>313966</v>
      </c>
      <c r="E373" s="56">
        <f t="shared" si="45"/>
        <v>313966</v>
      </c>
      <c r="F373" s="56">
        <f t="shared" si="45"/>
        <v>371428</v>
      </c>
      <c r="G373" s="56">
        <f t="shared" si="45"/>
        <v>380700.108</v>
      </c>
      <c r="H373" s="56">
        <f t="shared" si="45"/>
        <v>392100.11124</v>
      </c>
      <c r="I373" s="56">
        <f t="shared" si="45"/>
        <v>402674.81424348004</v>
      </c>
      <c r="J373" s="56">
        <f t="shared" si="45"/>
        <v>371428</v>
      </c>
      <c r="K373" s="2">
        <f t="shared" si="40"/>
        <v>0</v>
      </c>
    </row>
    <row r="374" spans="1:11" ht="18">
      <c r="A374" s="13" t="s">
        <v>262</v>
      </c>
      <c r="B374" s="56">
        <f aca="true" t="shared" si="46" ref="B374:J374">B203</f>
        <v>2409.79</v>
      </c>
      <c r="C374" s="56">
        <f t="shared" si="46"/>
        <v>4039</v>
      </c>
      <c r="D374" s="56">
        <f t="shared" si="46"/>
        <v>4119</v>
      </c>
      <c r="E374" s="56">
        <f t="shared" si="46"/>
        <v>4119</v>
      </c>
      <c r="F374" s="56">
        <f t="shared" si="46"/>
        <v>4024</v>
      </c>
      <c r="G374" s="56">
        <f t="shared" si="46"/>
        <v>4233</v>
      </c>
      <c r="H374" s="56">
        <f t="shared" si="46"/>
        <v>4467</v>
      </c>
      <c r="I374" s="56">
        <f t="shared" si="46"/>
        <v>4798</v>
      </c>
      <c r="J374" s="56">
        <f t="shared" si="46"/>
        <v>4024</v>
      </c>
      <c r="K374" s="2">
        <f t="shared" si="40"/>
        <v>0</v>
      </c>
    </row>
    <row r="375" spans="1:11" ht="18">
      <c r="A375" s="13" t="s">
        <v>263</v>
      </c>
      <c r="B375" s="56">
        <f aca="true" t="shared" si="47" ref="B375:J375">B205</f>
        <v>5129.6089999999995</v>
      </c>
      <c r="C375" s="56">
        <f t="shared" si="47"/>
        <v>17313</v>
      </c>
      <c r="D375" s="56">
        <f t="shared" si="47"/>
        <v>17313</v>
      </c>
      <c r="E375" s="56">
        <f t="shared" si="47"/>
        <v>17813</v>
      </c>
      <c r="F375" s="56">
        <f t="shared" si="47"/>
        <v>22234</v>
      </c>
      <c r="G375" s="56">
        <f t="shared" si="47"/>
        <v>22025.424</v>
      </c>
      <c r="H375" s="56">
        <f t="shared" si="47"/>
        <v>22685.186719999998</v>
      </c>
      <c r="I375" s="56">
        <f t="shared" si="47"/>
        <v>23365.686761439996</v>
      </c>
      <c r="J375" s="56">
        <f t="shared" si="47"/>
        <v>22234</v>
      </c>
      <c r="K375" s="2">
        <f t="shared" si="40"/>
        <v>0</v>
      </c>
    </row>
    <row r="376" spans="1:11" ht="18">
      <c r="A376" s="13" t="s">
        <v>264</v>
      </c>
      <c r="B376" s="56">
        <f aca="true" t="shared" si="48" ref="B376:J376">B216</f>
        <v>1430.807</v>
      </c>
      <c r="C376" s="56">
        <f t="shared" si="48"/>
        <v>2187</v>
      </c>
      <c r="D376" s="56">
        <f t="shared" si="48"/>
        <v>2330</v>
      </c>
      <c r="E376" s="56">
        <f t="shared" si="48"/>
        <v>2330</v>
      </c>
      <c r="F376" s="56">
        <f t="shared" si="48"/>
        <v>2283</v>
      </c>
      <c r="G376" s="56">
        <f t="shared" si="48"/>
        <v>2370</v>
      </c>
      <c r="H376" s="56">
        <f t="shared" si="48"/>
        <v>2195</v>
      </c>
      <c r="I376" s="56">
        <f t="shared" si="48"/>
        <v>2117</v>
      </c>
      <c r="J376" s="56">
        <f t="shared" si="48"/>
        <v>2283</v>
      </c>
      <c r="K376" s="2">
        <f t="shared" si="40"/>
        <v>0</v>
      </c>
    </row>
    <row r="377" spans="1:11" ht="18">
      <c r="A377" s="13" t="s">
        <v>265</v>
      </c>
      <c r="B377" s="56">
        <f aca="true" t="shared" si="49" ref="B377:J377">B218</f>
        <v>46180.2</v>
      </c>
      <c r="C377" s="56">
        <f t="shared" si="49"/>
        <v>40189</v>
      </c>
      <c r="D377" s="56">
        <f t="shared" si="49"/>
        <v>40189</v>
      </c>
      <c r="E377" s="56">
        <f t="shared" si="49"/>
        <v>30441</v>
      </c>
      <c r="F377" s="56">
        <f t="shared" si="49"/>
        <v>41514</v>
      </c>
      <c r="G377" s="56">
        <f t="shared" si="49"/>
        <v>41514</v>
      </c>
      <c r="H377" s="56">
        <f t="shared" si="49"/>
        <v>41514</v>
      </c>
      <c r="I377" s="56">
        <f t="shared" si="49"/>
        <v>41514</v>
      </c>
      <c r="J377" s="56">
        <f t="shared" si="49"/>
        <v>41514</v>
      </c>
      <c r="K377" s="2">
        <f t="shared" si="40"/>
        <v>0</v>
      </c>
    </row>
    <row r="378" spans="2:11" ht="18">
      <c r="B378" s="56"/>
      <c r="C378" s="56"/>
      <c r="D378" s="56"/>
      <c r="E378" s="56"/>
      <c r="F378" s="56"/>
      <c r="G378" s="56"/>
      <c r="H378" s="56"/>
      <c r="I378" s="56"/>
      <c r="J378" s="56"/>
      <c r="K378" s="2">
        <f t="shared" si="40"/>
        <v>0</v>
      </c>
    </row>
    <row r="379" spans="1:11" ht="31.5">
      <c r="A379" s="133" t="s">
        <v>266</v>
      </c>
      <c r="B379" s="67">
        <f aca="true" t="shared" si="50" ref="B379:J379">B380+B381</f>
        <v>10131.331</v>
      </c>
      <c r="C379" s="67">
        <f t="shared" si="50"/>
        <v>103521.81399200001</v>
      </c>
      <c r="D379" s="67">
        <f t="shared" si="50"/>
        <v>104271.81399200001</v>
      </c>
      <c r="E379" s="67">
        <f t="shared" si="50"/>
        <v>30772.296</v>
      </c>
      <c r="F379" s="67">
        <f t="shared" si="50"/>
        <v>105366.64000000001</v>
      </c>
      <c r="G379" s="67">
        <f t="shared" si="50"/>
        <v>120438.832</v>
      </c>
      <c r="H379" s="67">
        <f t="shared" si="50"/>
        <v>127598.09195999999</v>
      </c>
      <c r="I379" s="67">
        <f t="shared" si="50"/>
        <v>135702.20744492</v>
      </c>
      <c r="J379" s="67">
        <f t="shared" si="50"/>
        <v>105677.97511</v>
      </c>
      <c r="K379" s="2">
        <f t="shared" si="40"/>
        <v>311.33510999998543</v>
      </c>
    </row>
    <row r="380" spans="1:11" ht="18">
      <c r="A380" s="13" t="s">
        <v>258</v>
      </c>
      <c r="B380" s="57">
        <f aca="true" t="shared" si="51" ref="B380:J380">SUM(B224+B238+B243+B248+B254+B259+B265+B270+B273)</f>
        <v>6365.316</v>
      </c>
      <c r="C380" s="57">
        <f t="shared" si="51"/>
        <v>92180.81399200001</v>
      </c>
      <c r="D380" s="57">
        <f t="shared" si="51"/>
        <v>92180.81399200001</v>
      </c>
      <c r="E380" s="57">
        <f t="shared" si="51"/>
        <v>19181.296</v>
      </c>
      <c r="F380" s="57">
        <f t="shared" si="51"/>
        <v>92094.64000000001</v>
      </c>
      <c r="G380" s="57">
        <f t="shared" si="51"/>
        <v>106674.9</v>
      </c>
      <c r="H380" s="57">
        <f t="shared" si="51"/>
        <v>113395.36</v>
      </c>
      <c r="I380" s="57">
        <f t="shared" si="51"/>
        <v>121088.45</v>
      </c>
      <c r="J380" s="57">
        <f t="shared" si="51"/>
        <v>92405.97511</v>
      </c>
      <c r="K380" s="2">
        <f t="shared" si="40"/>
        <v>311.33510999998543</v>
      </c>
    </row>
    <row r="381" spans="1:11" ht="18">
      <c r="A381" s="13" t="s">
        <v>259</v>
      </c>
      <c r="B381" s="56">
        <f aca="true" t="shared" si="52" ref="B381:J381">B277</f>
        <v>3766.0150000000003</v>
      </c>
      <c r="C381" s="56">
        <f t="shared" si="52"/>
        <v>11341</v>
      </c>
      <c r="D381" s="56">
        <f t="shared" si="52"/>
        <v>12091</v>
      </c>
      <c r="E381" s="56">
        <f t="shared" si="52"/>
        <v>11591</v>
      </c>
      <c r="F381" s="134">
        <f t="shared" si="52"/>
        <v>13272</v>
      </c>
      <c r="G381" s="56">
        <f t="shared" si="52"/>
        <v>13763.931999999999</v>
      </c>
      <c r="H381" s="56">
        <f t="shared" si="52"/>
        <v>14202.731959999997</v>
      </c>
      <c r="I381" s="56">
        <f t="shared" si="52"/>
        <v>14613.75744492</v>
      </c>
      <c r="J381" s="134">
        <f t="shared" si="52"/>
        <v>13272</v>
      </c>
      <c r="K381" s="2">
        <f t="shared" si="40"/>
        <v>0</v>
      </c>
    </row>
    <row r="382" spans="1:11" ht="18">
      <c r="A382" s="13" t="s">
        <v>260</v>
      </c>
      <c r="B382" s="56">
        <f aca="true" t="shared" si="53" ref="B382:J382">B279</f>
        <v>2086.733</v>
      </c>
      <c r="C382" s="56">
        <f t="shared" si="53"/>
        <v>3220</v>
      </c>
      <c r="D382" s="56">
        <f t="shared" si="53"/>
        <v>3970</v>
      </c>
      <c r="E382" s="56">
        <f t="shared" si="53"/>
        <v>3970</v>
      </c>
      <c r="F382" s="56">
        <f t="shared" si="53"/>
        <v>4785</v>
      </c>
      <c r="G382" s="56">
        <f t="shared" si="53"/>
        <v>4976.4</v>
      </c>
      <c r="H382" s="56">
        <f t="shared" si="53"/>
        <v>5150.574</v>
      </c>
      <c r="I382" s="56">
        <f t="shared" si="53"/>
        <v>5305.69122</v>
      </c>
      <c r="J382" s="56">
        <f t="shared" si="53"/>
        <v>4785</v>
      </c>
      <c r="K382" s="2">
        <f aca="true" t="shared" si="54" ref="K382:K412">J382-F382</f>
        <v>0</v>
      </c>
    </row>
    <row r="383" spans="1:11" ht="18">
      <c r="A383" s="13" t="s">
        <v>261</v>
      </c>
      <c r="B383" s="56">
        <f aca="true" t="shared" si="55" ref="B383:J383">B315</f>
        <v>571.969</v>
      </c>
      <c r="C383" s="56">
        <f t="shared" si="55"/>
        <v>4264</v>
      </c>
      <c r="D383" s="56">
        <f t="shared" si="55"/>
        <v>4264</v>
      </c>
      <c r="E383" s="56">
        <f t="shared" si="55"/>
        <v>4264</v>
      </c>
      <c r="F383" s="56">
        <f t="shared" si="55"/>
        <v>4456</v>
      </c>
      <c r="G383" s="56">
        <f t="shared" si="55"/>
        <v>4616.416</v>
      </c>
      <c r="H383" s="56">
        <f t="shared" si="55"/>
        <v>4754.90848</v>
      </c>
      <c r="I383" s="56">
        <f t="shared" si="55"/>
        <v>4882.791008960001</v>
      </c>
      <c r="J383" s="56">
        <f t="shared" si="55"/>
        <v>4456</v>
      </c>
      <c r="K383" s="2">
        <f t="shared" si="54"/>
        <v>0</v>
      </c>
    </row>
    <row r="384" spans="1:11" ht="18">
      <c r="A384" s="13" t="s">
        <v>262</v>
      </c>
      <c r="B384" s="56">
        <f aca="true" t="shared" si="56" ref="B384:J384">B349</f>
        <v>0</v>
      </c>
      <c r="C384" s="56">
        <f t="shared" si="56"/>
        <v>0</v>
      </c>
      <c r="D384" s="56">
        <f t="shared" si="56"/>
        <v>0</v>
      </c>
      <c r="E384" s="56">
        <f t="shared" si="56"/>
        <v>0</v>
      </c>
      <c r="F384" s="56">
        <f t="shared" si="56"/>
        <v>0</v>
      </c>
      <c r="G384" s="56">
        <f t="shared" si="56"/>
        <v>0</v>
      </c>
      <c r="H384" s="56">
        <f t="shared" si="56"/>
        <v>0</v>
      </c>
      <c r="I384" s="56">
        <f t="shared" si="56"/>
        <v>0</v>
      </c>
      <c r="J384" s="56">
        <f t="shared" si="56"/>
        <v>0</v>
      </c>
      <c r="K384" s="2">
        <f t="shared" si="54"/>
        <v>0</v>
      </c>
    </row>
    <row r="385" spans="1:11" ht="18">
      <c r="A385" s="13" t="s">
        <v>263</v>
      </c>
      <c r="B385" s="56">
        <f aca="true" t="shared" si="57" ref="B385:J385">B351</f>
        <v>1107.313</v>
      </c>
      <c r="C385" s="56">
        <f t="shared" si="57"/>
        <v>3857</v>
      </c>
      <c r="D385" s="56">
        <f t="shared" si="57"/>
        <v>3857</v>
      </c>
      <c r="E385" s="56">
        <f t="shared" si="57"/>
        <v>3357</v>
      </c>
      <c r="F385" s="56">
        <f t="shared" si="57"/>
        <v>4031</v>
      </c>
      <c r="G385" s="56">
        <f t="shared" si="57"/>
        <v>4171.116</v>
      </c>
      <c r="H385" s="56">
        <f t="shared" si="57"/>
        <v>4297.2494799999995</v>
      </c>
      <c r="I385" s="56">
        <f t="shared" si="57"/>
        <v>4425.2752159599995</v>
      </c>
      <c r="J385" s="56">
        <f t="shared" si="57"/>
        <v>4031</v>
      </c>
      <c r="K385" s="2">
        <f t="shared" si="54"/>
        <v>0</v>
      </c>
    </row>
    <row r="386" spans="1:11" ht="18">
      <c r="A386" s="13" t="s">
        <v>264</v>
      </c>
      <c r="B386" s="56">
        <f aca="true" t="shared" si="58" ref="B386:J386">B363</f>
        <v>0</v>
      </c>
      <c r="C386" s="56">
        <f t="shared" si="58"/>
        <v>0</v>
      </c>
      <c r="D386" s="56">
        <f t="shared" si="58"/>
        <v>0</v>
      </c>
      <c r="E386" s="56">
        <f t="shared" si="58"/>
        <v>0</v>
      </c>
      <c r="F386" s="56">
        <f t="shared" si="58"/>
        <v>0</v>
      </c>
      <c r="G386" s="56">
        <f t="shared" si="58"/>
        <v>0</v>
      </c>
      <c r="H386" s="56">
        <f t="shared" si="58"/>
        <v>0</v>
      </c>
      <c r="I386" s="56">
        <f t="shared" si="58"/>
        <v>0</v>
      </c>
      <c r="J386" s="56">
        <f t="shared" si="58"/>
        <v>0</v>
      </c>
      <c r="K386" s="2">
        <f t="shared" si="54"/>
        <v>0</v>
      </c>
    </row>
    <row r="387" spans="2:11" ht="18">
      <c r="B387" s="56"/>
      <c r="C387" s="56"/>
      <c r="D387" s="56"/>
      <c r="E387" s="56"/>
      <c r="F387" s="56"/>
      <c r="G387" s="56"/>
      <c r="H387" s="56"/>
      <c r="I387" s="56"/>
      <c r="J387" s="56"/>
      <c r="K387" s="2">
        <f t="shared" si="54"/>
        <v>0</v>
      </c>
    </row>
    <row r="388" spans="1:11" ht="18">
      <c r="A388" s="5" t="s">
        <v>267</v>
      </c>
      <c r="B388" s="67">
        <f aca="true" t="shared" si="59" ref="B388:J388">B369+B379</f>
        <v>17744859.420999996</v>
      </c>
      <c r="C388" s="67">
        <f t="shared" si="59"/>
        <v>19180589.853992</v>
      </c>
      <c r="D388" s="67">
        <f t="shared" si="59"/>
        <v>18595880.843992002</v>
      </c>
      <c r="E388" s="67">
        <f t="shared" si="59"/>
        <v>18595881.51</v>
      </c>
      <c r="F388" s="67">
        <f t="shared" si="59"/>
        <v>22438103.76</v>
      </c>
      <c r="G388" s="67">
        <f t="shared" si="59"/>
        <v>27546011.084000003</v>
      </c>
      <c r="H388" s="67">
        <f t="shared" si="59"/>
        <v>28425929.663120005</v>
      </c>
      <c r="I388" s="67">
        <f t="shared" si="59"/>
        <v>31113220.431345843</v>
      </c>
      <c r="J388" s="67">
        <f t="shared" si="59"/>
        <v>22459655.09511</v>
      </c>
      <c r="K388" s="2">
        <f t="shared" si="54"/>
        <v>21551.33510999754</v>
      </c>
    </row>
    <row r="389" spans="2:11" ht="18">
      <c r="B389" s="56"/>
      <c r="C389" s="56"/>
      <c r="D389" s="56"/>
      <c r="E389" s="56"/>
      <c r="F389" s="56"/>
      <c r="G389" s="56"/>
      <c r="H389" s="56"/>
      <c r="I389" s="56"/>
      <c r="J389" s="56"/>
      <c r="K389" s="2">
        <f t="shared" si="54"/>
        <v>0</v>
      </c>
    </row>
    <row r="390" spans="2:11" ht="18">
      <c r="B390" s="56"/>
      <c r="C390" s="56"/>
      <c r="D390" s="56"/>
      <c r="E390" s="56"/>
      <c r="F390" s="56"/>
      <c r="G390" s="56"/>
      <c r="H390" s="56"/>
      <c r="I390" s="56"/>
      <c r="J390" s="56"/>
      <c r="K390" s="2">
        <f t="shared" si="54"/>
        <v>0</v>
      </c>
    </row>
    <row r="391" spans="1:11" ht="18">
      <c r="A391" s="59" t="s">
        <v>256</v>
      </c>
      <c r="B391" s="56"/>
      <c r="C391" s="56"/>
      <c r="D391" s="56"/>
      <c r="E391" s="56"/>
      <c r="F391" s="56"/>
      <c r="G391" s="56"/>
      <c r="H391" s="56"/>
      <c r="I391" s="56"/>
      <c r="J391" s="56"/>
      <c r="K391" s="2">
        <f t="shared" si="54"/>
        <v>0</v>
      </c>
    </row>
    <row r="392" spans="1:11" ht="18">
      <c r="A392" s="59"/>
      <c r="B392" s="56"/>
      <c r="C392" s="56"/>
      <c r="D392" s="56"/>
      <c r="E392" s="56"/>
      <c r="F392" s="56"/>
      <c r="G392" s="56"/>
      <c r="H392" s="56"/>
      <c r="I392" s="56"/>
      <c r="J392" s="56"/>
      <c r="K392" s="2">
        <f t="shared" si="54"/>
        <v>0</v>
      </c>
    </row>
    <row r="393" spans="1:11" ht="18">
      <c r="A393" s="135" t="s">
        <v>268</v>
      </c>
      <c r="B393" s="136"/>
      <c r="C393" s="136"/>
      <c r="D393" s="136"/>
      <c r="E393" s="136"/>
      <c r="F393" s="136"/>
      <c r="G393" s="136"/>
      <c r="H393" s="136"/>
      <c r="I393" s="136"/>
      <c r="J393" s="136"/>
      <c r="K393" s="2">
        <f t="shared" si="54"/>
        <v>0</v>
      </c>
    </row>
    <row r="394" spans="1:11" ht="18">
      <c r="A394" s="137" t="s">
        <v>269</v>
      </c>
      <c r="B394" s="138"/>
      <c r="C394" s="138"/>
      <c r="D394" s="138"/>
      <c r="E394" s="138"/>
      <c r="F394" s="138"/>
      <c r="G394" s="138"/>
      <c r="H394" s="139"/>
      <c r="I394" s="138"/>
      <c r="J394" s="138"/>
      <c r="K394" s="2">
        <f t="shared" si="54"/>
        <v>0</v>
      </c>
    </row>
    <row r="395" spans="1:11" ht="18">
      <c r="A395" s="137" t="s">
        <v>270</v>
      </c>
      <c r="B395" s="138"/>
      <c r="C395" s="138"/>
      <c r="D395" s="138"/>
      <c r="E395" s="138"/>
      <c r="F395" s="138"/>
      <c r="G395" s="138"/>
      <c r="H395" s="139"/>
      <c r="I395" s="138"/>
      <c r="J395" s="138"/>
      <c r="K395" s="2">
        <f t="shared" si="54"/>
        <v>0</v>
      </c>
    </row>
    <row r="396" spans="1:11" ht="18">
      <c r="A396" s="137"/>
      <c r="B396" s="138"/>
      <c r="C396" s="138"/>
      <c r="D396" s="138"/>
      <c r="E396" s="138"/>
      <c r="F396" s="138"/>
      <c r="G396" s="138"/>
      <c r="H396" s="139"/>
      <c r="I396" s="138" t="s">
        <v>294</v>
      </c>
      <c r="J396" s="138"/>
      <c r="K396" s="2">
        <f t="shared" si="54"/>
        <v>0</v>
      </c>
    </row>
    <row r="397" spans="1:11" ht="18">
      <c r="A397" s="38" t="s">
        <v>271</v>
      </c>
      <c r="B397" s="39" t="s">
        <v>281</v>
      </c>
      <c r="C397" s="40" t="s">
        <v>282</v>
      </c>
      <c r="D397" s="40" t="s">
        <v>282</v>
      </c>
      <c r="E397" s="40" t="s">
        <v>282</v>
      </c>
      <c r="F397" s="39" t="s">
        <v>291</v>
      </c>
      <c r="G397" s="40" t="s">
        <v>292</v>
      </c>
      <c r="H397" s="40" t="s">
        <v>292</v>
      </c>
      <c r="I397" s="40" t="s">
        <v>292</v>
      </c>
      <c r="J397" s="39" t="s">
        <v>291</v>
      </c>
      <c r="K397" s="132" t="e">
        <f t="shared" si="54"/>
        <v>#VALUE!</v>
      </c>
    </row>
    <row r="398" spans="1:11" ht="18">
      <c r="A398" s="42" t="s">
        <v>32</v>
      </c>
      <c r="B398" s="43">
        <v>2005</v>
      </c>
      <c r="C398" s="44">
        <v>2006</v>
      </c>
      <c r="D398" s="44">
        <v>2006</v>
      </c>
      <c r="E398" s="44">
        <v>2006</v>
      </c>
      <c r="F398" s="44">
        <v>2007</v>
      </c>
      <c r="G398" s="45">
        <v>2008</v>
      </c>
      <c r="H398" s="45">
        <v>2009</v>
      </c>
      <c r="I398" s="42">
        <v>2010</v>
      </c>
      <c r="J398" s="44">
        <v>2007</v>
      </c>
      <c r="K398" s="132">
        <f t="shared" si="54"/>
        <v>0</v>
      </c>
    </row>
    <row r="399" spans="1:11" ht="18">
      <c r="A399" s="46"/>
      <c r="B399" s="47"/>
      <c r="C399" s="48" t="s">
        <v>283</v>
      </c>
      <c r="D399" s="48" t="s">
        <v>286</v>
      </c>
      <c r="E399" s="48" t="s">
        <v>289</v>
      </c>
      <c r="F399" s="49"/>
      <c r="G399" s="49"/>
      <c r="H399" s="49"/>
      <c r="I399" s="50"/>
      <c r="J399" s="49"/>
      <c r="K399" s="132">
        <f t="shared" si="54"/>
        <v>0</v>
      </c>
    </row>
    <row r="400" spans="1:11" ht="15">
      <c r="A400" s="51"/>
      <c r="B400" s="10">
        <v>1</v>
      </c>
      <c r="C400" s="10">
        <v>2</v>
      </c>
      <c r="D400" s="52">
        <v>3</v>
      </c>
      <c r="E400" s="52">
        <v>4</v>
      </c>
      <c r="F400" s="10">
        <v>5</v>
      </c>
      <c r="G400" s="52">
        <v>6</v>
      </c>
      <c r="H400" s="52">
        <v>7</v>
      </c>
      <c r="I400" s="52">
        <v>8</v>
      </c>
      <c r="J400" s="10">
        <v>5</v>
      </c>
      <c r="K400" s="2">
        <f t="shared" si="54"/>
        <v>0</v>
      </c>
    </row>
    <row r="401" spans="1:11" ht="18">
      <c r="A401" s="14"/>
      <c r="B401" s="54"/>
      <c r="C401" s="54"/>
      <c r="D401" s="54"/>
      <c r="E401" s="54"/>
      <c r="F401" s="54"/>
      <c r="G401" s="54"/>
      <c r="H401" s="54"/>
      <c r="I401" s="54"/>
      <c r="J401" s="54"/>
      <c r="K401" s="2">
        <f t="shared" si="54"/>
        <v>0</v>
      </c>
    </row>
    <row r="402" spans="1:11" ht="18">
      <c r="A402" s="13" t="s">
        <v>272</v>
      </c>
      <c r="B402" s="56">
        <f aca="true" t="shared" si="60" ref="B402:J402">B369</f>
        <v>17734728.089999996</v>
      </c>
      <c r="C402" s="56">
        <f t="shared" si="60"/>
        <v>19077068.04</v>
      </c>
      <c r="D402" s="56">
        <f t="shared" si="60"/>
        <v>18491609.03</v>
      </c>
      <c r="E402" s="56">
        <f t="shared" si="60"/>
        <v>18565109.214</v>
      </c>
      <c r="F402" s="56">
        <f t="shared" si="60"/>
        <v>22332737.12</v>
      </c>
      <c r="G402" s="56">
        <f t="shared" si="60"/>
        <v>27425572.252000004</v>
      </c>
      <c r="H402" s="56">
        <f t="shared" si="60"/>
        <v>28298331.571160004</v>
      </c>
      <c r="I402" s="56">
        <f t="shared" si="60"/>
        <v>30977518.22390092</v>
      </c>
      <c r="J402" s="56">
        <f t="shared" si="60"/>
        <v>22353977.12</v>
      </c>
      <c r="K402" s="2">
        <f t="shared" si="54"/>
        <v>21240</v>
      </c>
    </row>
    <row r="403" spans="1:11" ht="18">
      <c r="A403" s="3" t="s">
        <v>273</v>
      </c>
      <c r="B403" s="56">
        <f aca="true" t="shared" si="61" ref="B403:J403">B371</f>
        <v>369773.7679999999</v>
      </c>
      <c r="C403" s="56">
        <f t="shared" si="61"/>
        <v>400761</v>
      </c>
      <c r="D403" s="56">
        <f t="shared" si="61"/>
        <v>476366</v>
      </c>
      <c r="E403" s="56">
        <f t="shared" si="61"/>
        <v>467118</v>
      </c>
      <c r="F403" s="56">
        <f t="shared" si="61"/>
        <v>543456</v>
      </c>
      <c r="G403" s="56">
        <f t="shared" si="61"/>
        <v>556894.052</v>
      </c>
      <c r="H403" s="56">
        <f t="shared" si="61"/>
        <v>572724.62116</v>
      </c>
      <c r="I403" s="56">
        <f t="shared" si="61"/>
        <v>587525.72390092</v>
      </c>
      <c r="J403" s="56">
        <f t="shared" si="61"/>
        <v>543456</v>
      </c>
      <c r="K403" s="2">
        <f t="shared" si="54"/>
        <v>0</v>
      </c>
    </row>
    <row r="404" spans="1:11" ht="18">
      <c r="A404" s="13" t="s">
        <v>274</v>
      </c>
      <c r="B404" s="72">
        <f aca="true" t="shared" si="62" ref="B404:J404">B403/B402*100</f>
        <v>2.085026430196596</v>
      </c>
      <c r="C404" s="72">
        <f t="shared" si="62"/>
        <v>2.1007473431436168</v>
      </c>
      <c r="D404" s="72">
        <f t="shared" si="62"/>
        <v>2.576119791561481</v>
      </c>
      <c r="E404" s="72">
        <f t="shared" si="62"/>
        <v>2.5161069327173413</v>
      </c>
      <c r="F404" s="72">
        <f t="shared" si="62"/>
        <v>2.433450038299649</v>
      </c>
      <c r="G404" s="72">
        <f t="shared" si="62"/>
        <v>2.0305649299966335</v>
      </c>
      <c r="H404" s="72">
        <f t="shared" si="62"/>
        <v>2.0238812303114266</v>
      </c>
      <c r="I404" s="72">
        <f t="shared" si="62"/>
        <v>1.8966197345260873</v>
      </c>
      <c r="J404" s="72">
        <f t="shared" si="62"/>
        <v>2.431137855615735</v>
      </c>
      <c r="K404" s="2">
        <f t="shared" si="54"/>
        <v>-0.002312182683914088</v>
      </c>
    </row>
    <row r="405" spans="1:11" ht="18">
      <c r="A405" s="13" t="s">
        <v>275</v>
      </c>
      <c r="B405" s="56"/>
      <c r="C405" s="56"/>
      <c r="D405" s="56"/>
      <c r="E405" s="56"/>
      <c r="F405" s="56"/>
      <c r="G405" s="56"/>
      <c r="H405" s="56"/>
      <c r="I405" s="56"/>
      <c r="J405" s="56"/>
      <c r="K405" s="2">
        <f t="shared" si="54"/>
        <v>0</v>
      </c>
    </row>
    <row r="406" spans="1:11" ht="18">
      <c r="A406" s="3" t="s">
        <v>276</v>
      </c>
      <c r="B406" s="56"/>
      <c r="C406" s="56"/>
      <c r="D406" s="56"/>
      <c r="E406" s="56"/>
      <c r="F406" s="56"/>
      <c r="G406" s="56"/>
      <c r="H406" s="56"/>
      <c r="I406" s="56"/>
      <c r="J406" s="56"/>
      <c r="K406" s="2">
        <f t="shared" si="54"/>
        <v>0</v>
      </c>
    </row>
    <row r="407" spans="1:11" ht="18">
      <c r="A407" s="13" t="s">
        <v>277</v>
      </c>
      <c r="B407" s="56" t="e">
        <f>#REF!</f>
        <v>#REF!</v>
      </c>
      <c r="C407" s="56" t="e">
        <f>#REF!</f>
        <v>#REF!</v>
      </c>
      <c r="D407" s="56" t="e">
        <f>#REF!</f>
        <v>#REF!</v>
      </c>
      <c r="E407" s="56" t="e">
        <f>#REF!</f>
        <v>#REF!</v>
      </c>
      <c r="F407" s="56" t="e">
        <f>#REF!</f>
        <v>#REF!</v>
      </c>
      <c r="G407" s="56" t="e">
        <f>#REF!</f>
        <v>#REF!</v>
      </c>
      <c r="H407" s="56" t="e">
        <f>#REF!</f>
        <v>#REF!</v>
      </c>
      <c r="I407" s="56" t="e">
        <f>#REF!</f>
        <v>#REF!</v>
      </c>
      <c r="J407" s="56" t="e">
        <f>#REF!</f>
        <v>#REF!</v>
      </c>
      <c r="K407" s="2" t="e">
        <f t="shared" si="54"/>
        <v>#REF!</v>
      </c>
    </row>
    <row r="408" spans="1:11" ht="18">
      <c r="A408" s="13" t="s">
        <v>278</v>
      </c>
      <c r="B408" s="56">
        <f aca="true" t="shared" si="63" ref="B408:J408">B381</f>
        <v>3766.0150000000003</v>
      </c>
      <c r="C408" s="56">
        <f t="shared" si="63"/>
        <v>11341</v>
      </c>
      <c r="D408" s="56">
        <f t="shared" si="63"/>
        <v>12091</v>
      </c>
      <c r="E408" s="56">
        <f t="shared" si="63"/>
        <v>11591</v>
      </c>
      <c r="F408" s="56">
        <f t="shared" si="63"/>
        <v>13272</v>
      </c>
      <c r="G408" s="56">
        <f t="shared" si="63"/>
        <v>13763.931999999999</v>
      </c>
      <c r="H408" s="56">
        <f t="shared" si="63"/>
        <v>14202.731959999997</v>
      </c>
      <c r="I408" s="56">
        <f t="shared" si="63"/>
        <v>14613.75744492</v>
      </c>
      <c r="J408" s="56">
        <f t="shared" si="63"/>
        <v>13272</v>
      </c>
      <c r="K408" s="2">
        <f t="shared" si="54"/>
        <v>0</v>
      </c>
    </row>
    <row r="409" spans="1:11" ht="18">
      <c r="A409" s="13" t="s">
        <v>279</v>
      </c>
      <c r="B409" s="72" t="e">
        <f aca="true" t="shared" si="64" ref="B409:J409">B408/B407*100</f>
        <v>#REF!</v>
      </c>
      <c r="C409" s="72" t="e">
        <f t="shared" si="64"/>
        <v>#REF!</v>
      </c>
      <c r="D409" s="72" t="e">
        <f t="shared" si="64"/>
        <v>#REF!</v>
      </c>
      <c r="E409" s="72" t="e">
        <f t="shared" si="64"/>
        <v>#REF!</v>
      </c>
      <c r="F409" s="140" t="e">
        <f t="shared" si="64"/>
        <v>#REF!</v>
      </c>
      <c r="G409" s="72" t="e">
        <f t="shared" si="64"/>
        <v>#REF!</v>
      </c>
      <c r="H409" s="72" t="e">
        <f t="shared" si="64"/>
        <v>#REF!</v>
      </c>
      <c r="I409" s="72" t="e">
        <f t="shared" si="64"/>
        <v>#REF!</v>
      </c>
      <c r="J409" s="140" t="e">
        <f t="shared" si="64"/>
        <v>#REF!</v>
      </c>
      <c r="K409" s="2" t="e">
        <f t="shared" si="54"/>
        <v>#REF!</v>
      </c>
    </row>
    <row r="410" spans="1:11" ht="18">
      <c r="A410" s="13" t="s">
        <v>280</v>
      </c>
      <c r="B410" s="56"/>
      <c r="C410" s="56"/>
      <c r="D410" s="56"/>
      <c r="E410" s="56"/>
      <c r="F410" s="56"/>
      <c r="G410" s="56"/>
      <c r="H410" s="56"/>
      <c r="I410" s="56"/>
      <c r="J410" s="56"/>
      <c r="K410" s="2">
        <f t="shared" si="54"/>
        <v>0</v>
      </c>
    </row>
    <row r="411" spans="1:11" ht="18">
      <c r="A411" s="2"/>
      <c r="B411" s="56"/>
      <c r="C411" s="56"/>
      <c r="D411" s="56"/>
      <c r="E411" s="56"/>
      <c r="F411" s="56"/>
      <c r="G411" s="56"/>
      <c r="H411" s="56"/>
      <c r="I411" s="56"/>
      <c r="J411" s="56"/>
      <c r="K411" s="2">
        <f t="shared" si="54"/>
        <v>0</v>
      </c>
    </row>
    <row r="412" spans="1:11" ht="18">
      <c r="A412" s="14"/>
      <c r="B412" s="54"/>
      <c r="C412" s="54"/>
      <c r="D412" s="54"/>
      <c r="E412" s="54"/>
      <c r="F412" s="54"/>
      <c r="G412" s="54"/>
      <c r="H412" s="54"/>
      <c r="I412" s="54"/>
      <c r="J412" s="54"/>
      <c r="K412" s="2">
        <f t="shared" si="54"/>
        <v>0</v>
      </c>
    </row>
    <row r="413" spans="2:10" ht="18">
      <c r="B413" s="56"/>
      <c r="C413" s="56"/>
      <c r="D413" s="56"/>
      <c r="E413" s="56"/>
      <c r="F413" s="56"/>
      <c r="G413" s="56"/>
      <c r="H413" s="56"/>
      <c r="I413" s="56"/>
      <c r="J413" s="56"/>
    </row>
    <row r="414" spans="1:10" ht="18">
      <c r="A414" s="2"/>
      <c r="B414" s="56"/>
      <c r="C414" s="56"/>
      <c r="D414" s="56"/>
      <c r="E414" s="56"/>
      <c r="F414" s="56"/>
      <c r="G414" s="56"/>
      <c r="H414" s="56"/>
      <c r="I414" s="56"/>
      <c r="J414" s="56"/>
    </row>
    <row r="415" spans="2:10" ht="18">
      <c r="B415" s="56"/>
      <c r="C415" s="56"/>
      <c r="D415" s="56"/>
      <c r="E415" s="56"/>
      <c r="F415" s="56"/>
      <c r="G415" s="56"/>
      <c r="H415" s="56"/>
      <c r="I415" s="56"/>
      <c r="J415" s="56"/>
    </row>
    <row r="416" spans="2:10" ht="18">
      <c r="B416" s="56"/>
      <c r="C416" s="56"/>
      <c r="D416" s="56"/>
      <c r="E416" s="56"/>
      <c r="F416" s="56"/>
      <c r="G416" s="56"/>
      <c r="H416" s="56"/>
      <c r="I416" s="56"/>
      <c r="J416" s="56"/>
    </row>
  </sheetData>
  <sheetProtection/>
  <printOptions horizontalCentered="1"/>
  <pageMargins left="0.7888888888888889" right="0.7875" top="1.0277777777777777" bottom="1.0416666666666667" header="0" footer="0"/>
  <pageSetup horizontalDpi="600" verticalDpi="600" orientation="portrait" paperSize="9" r:id="rId1"/>
  <headerFooter alignWithMargins="0">
    <oddHeader>&amp;L&amp;"Arial"&amp;12
&amp;C&amp;"Arial"&amp;10&amp;P</oddHeader>
    <oddFooter>&amp;L&amp;"Arial"&amp;8&amp;F&amp;C&amp;"Arial"&amp;12
&amp;R&amp;"Arial"&amp;8&amp;D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15"/>
  <sheetViews>
    <sheetView zoomScale="87" zoomScaleNormal="87" zoomScalePageLayoutView="0" workbookViewId="0" topLeftCell="A1">
      <selection activeCell="C248" sqref="C248"/>
    </sheetView>
  </sheetViews>
  <sheetFormatPr defaultColWidth="9.6640625" defaultRowHeight="15"/>
  <cols>
    <col min="1" max="1" width="30.6640625" style="1" customWidth="1"/>
    <col min="2" max="2" width="10.6640625" style="1" customWidth="1"/>
    <col min="3" max="4" width="11.6640625" style="1" customWidth="1"/>
    <col min="5" max="6" width="12.6640625" style="1" customWidth="1"/>
    <col min="7" max="7" width="11.6640625" style="1" customWidth="1"/>
    <col min="8" max="10" width="11.6640625" style="1" hidden="1" customWidth="1"/>
    <col min="11" max="11" width="11.6640625" style="1" customWidth="1"/>
    <col min="12" max="16384" width="9.6640625" style="1" customWidth="1"/>
  </cols>
  <sheetData>
    <row r="1" spans="1:2" ht="18">
      <c r="A1" s="141"/>
      <c r="B1" s="142"/>
    </row>
    <row r="2" spans="1:17" ht="18">
      <c r="A2" s="36" t="s">
        <v>300</v>
      </c>
      <c r="M2" s="143"/>
      <c r="N2" s="143"/>
      <c r="O2" s="143"/>
      <c r="P2" s="143"/>
      <c r="Q2" s="143"/>
    </row>
    <row r="3" spans="1:17" ht="18">
      <c r="A3" s="36" t="s">
        <v>301</v>
      </c>
      <c r="M3" s="143"/>
      <c r="N3" s="143"/>
      <c r="O3" s="143"/>
      <c r="P3" s="143"/>
      <c r="Q3" s="143"/>
    </row>
    <row r="4" spans="1:17" ht="18">
      <c r="A4" s="36"/>
      <c r="B4" s="141"/>
      <c r="M4" s="143"/>
      <c r="N4" s="143"/>
      <c r="O4" s="143"/>
      <c r="P4" s="143"/>
      <c r="Q4" s="143"/>
    </row>
    <row r="5" spans="1:17" ht="18">
      <c r="A5" s="36"/>
      <c r="F5" s="141"/>
      <c r="M5" s="143"/>
      <c r="N5" s="143"/>
      <c r="O5" s="143"/>
      <c r="P5" s="143"/>
      <c r="Q5" s="143"/>
    </row>
    <row r="6" spans="1:17" ht="18">
      <c r="A6" s="36" t="s">
        <v>302</v>
      </c>
      <c r="B6" s="144"/>
      <c r="C6" s="145"/>
      <c r="D6" s="144"/>
      <c r="E6" s="144"/>
      <c r="F6" s="144"/>
      <c r="G6" s="144"/>
      <c r="H6" s="144"/>
      <c r="I6" s="144"/>
      <c r="J6" s="144"/>
      <c r="K6" s="146"/>
      <c r="L6" s="146"/>
      <c r="M6" s="143"/>
      <c r="N6" s="143"/>
      <c r="O6" s="143"/>
      <c r="P6" s="143"/>
      <c r="Q6" s="143"/>
    </row>
    <row r="7" spans="1:17" ht="15.75">
      <c r="A7" s="147"/>
      <c r="B7" s="148"/>
      <c r="M7" s="143"/>
      <c r="N7" s="143"/>
      <c r="O7" s="143"/>
      <c r="P7" s="143"/>
      <c r="Q7" s="143"/>
    </row>
    <row r="8" spans="1:17" ht="18">
      <c r="A8" s="149"/>
      <c r="B8" s="150"/>
      <c r="L8" s="141"/>
      <c r="M8" s="143"/>
      <c r="N8" s="143"/>
      <c r="O8" s="143"/>
      <c r="P8" s="143"/>
      <c r="Q8" s="143"/>
    </row>
    <row r="9" spans="1:17" ht="15">
      <c r="A9" s="88"/>
      <c r="B9" s="151"/>
      <c r="C9" s="152"/>
      <c r="D9" s="152"/>
      <c r="E9" s="152"/>
      <c r="F9" s="152"/>
      <c r="G9" s="152"/>
      <c r="H9" s="152"/>
      <c r="I9" s="152"/>
      <c r="J9" s="153" t="s">
        <v>293</v>
      </c>
      <c r="K9" s="152"/>
      <c r="L9" s="154" t="s">
        <v>294</v>
      </c>
      <c r="M9" s="152"/>
      <c r="N9" s="152"/>
      <c r="O9" s="152"/>
      <c r="P9" s="152"/>
      <c r="Q9" s="152"/>
    </row>
    <row r="10" spans="1:13" ht="18">
      <c r="A10" s="131"/>
      <c r="B10" s="155"/>
      <c r="C10" s="39" t="s">
        <v>281</v>
      </c>
      <c r="D10" s="40" t="s">
        <v>282</v>
      </c>
      <c r="E10" s="40" t="s">
        <v>282</v>
      </c>
      <c r="F10" s="40" t="s">
        <v>282</v>
      </c>
      <c r="G10" s="39" t="s">
        <v>282</v>
      </c>
      <c r="H10" s="40" t="s">
        <v>292</v>
      </c>
      <c r="I10" s="40" t="s">
        <v>292</v>
      </c>
      <c r="J10" s="40" t="s">
        <v>292</v>
      </c>
      <c r="K10" s="39" t="s">
        <v>291</v>
      </c>
      <c r="L10" s="39"/>
      <c r="M10" s="156"/>
    </row>
    <row r="11" spans="1:13" ht="18">
      <c r="A11" s="42" t="s">
        <v>303</v>
      </c>
      <c r="B11" s="50" t="s">
        <v>547</v>
      </c>
      <c r="C11" s="43">
        <v>2005</v>
      </c>
      <c r="D11" s="44">
        <v>2006</v>
      </c>
      <c r="E11" s="44">
        <v>2006</v>
      </c>
      <c r="F11" s="44">
        <v>2006</v>
      </c>
      <c r="G11" s="44">
        <v>2007</v>
      </c>
      <c r="H11" s="45">
        <v>2008</v>
      </c>
      <c r="I11" s="45">
        <v>2009</v>
      </c>
      <c r="J11" s="42">
        <v>2010</v>
      </c>
      <c r="K11" s="44">
        <v>2007</v>
      </c>
      <c r="L11" s="44" t="s">
        <v>297</v>
      </c>
      <c r="M11" s="156"/>
    </row>
    <row r="12" spans="1:13" ht="18">
      <c r="A12" s="42"/>
      <c r="B12" s="50"/>
      <c r="C12" s="47"/>
      <c r="D12" s="48" t="s">
        <v>283</v>
      </c>
      <c r="E12" s="48" t="s">
        <v>286</v>
      </c>
      <c r="F12" s="48" t="s">
        <v>289</v>
      </c>
      <c r="G12" s="49" t="s">
        <v>290</v>
      </c>
      <c r="H12" s="49"/>
      <c r="I12" s="49"/>
      <c r="J12" s="50"/>
      <c r="K12" s="49" t="s">
        <v>695</v>
      </c>
      <c r="L12" s="49"/>
      <c r="M12" s="156"/>
    </row>
    <row r="13" spans="1:13" ht="15">
      <c r="A13" s="11">
        <v>0</v>
      </c>
      <c r="B13" s="11"/>
      <c r="C13" s="10">
        <v>1</v>
      </c>
      <c r="D13" s="10">
        <v>2</v>
      </c>
      <c r="E13" s="52">
        <v>3</v>
      </c>
      <c r="F13" s="52">
        <v>4</v>
      </c>
      <c r="G13" s="10">
        <v>1</v>
      </c>
      <c r="H13" s="52">
        <v>6</v>
      </c>
      <c r="I13" s="52">
        <v>7</v>
      </c>
      <c r="J13" s="52">
        <v>8</v>
      </c>
      <c r="K13" s="10">
        <v>2</v>
      </c>
      <c r="L13" s="10" t="s">
        <v>298</v>
      </c>
      <c r="M13" s="156"/>
    </row>
    <row r="14" spans="1:12" ht="18">
      <c r="A14" s="157"/>
      <c r="B14" s="158"/>
      <c r="C14" s="159"/>
      <c r="D14" s="160"/>
      <c r="E14" s="160"/>
      <c r="F14" s="160"/>
      <c r="G14" s="159"/>
      <c r="H14" s="160"/>
      <c r="I14" s="160"/>
      <c r="J14" s="160"/>
      <c r="K14" s="160"/>
      <c r="L14" s="160"/>
    </row>
    <row r="15" spans="1:12" ht="18">
      <c r="A15" s="161" t="s">
        <v>304</v>
      </c>
      <c r="B15" s="162"/>
      <c r="C15" s="163">
        <v>17624340.8</v>
      </c>
      <c r="D15" s="163">
        <v>19637704</v>
      </c>
      <c r="E15" s="164">
        <v>19423065</v>
      </c>
      <c r="F15" s="164">
        <v>19423065</v>
      </c>
      <c r="G15" s="163">
        <v>22716714</v>
      </c>
      <c r="H15" s="163">
        <v>28009540</v>
      </c>
      <c r="I15" s="164">
        <v>28965602</v>
      </c>
      <c r="J15" s="164">
        <v>31725449</v>
      </c>
      <c r="K15" s="163">
        <v>22716714</v>
      </c>
      <c r="L15" s="56">
        <f>K15-G15</f>
        <v>0</v>
      </c>
    </row>
    <row r="16" spans="1:12" ht="18">
      <c r="A16" s="165"/>
      <c r="B16" s="162"/>
      <c r="C16" s="166"/>
      <c r="D16" s="166"/>
      <c r="E16" s="166"/>
      <c r="F16" s="166"/>
      <c r="G16" s="167"/>
      <c r="H16" s="167"/>
      <c r="I16" s="167"/>
      <c r="J16" s="167"/>
      <c r="K16" s="167"/>
      <c r="L16" s="99"/>
    </row>
    <row r="17" spans="1:12" ht="18">
      <c r="A17" s="168" t="s">
        <v>305</v>
      </c>
      <c r="B17" s="169"/>
      <c r="C17" s="170">
        <f aca="true" t="shared" si="0" ref="C17:K17">C19+C26+C28</f>
        <v>17744859.420999996</v>
      </c>
      <c r="D17" s="171">
        <f t="shared" si="0"/>
        <v>19180589.853992004</v>
      </c>
      <c r="E17" s="171">
        <f t="shared" si="0"/>
        <v>18595880.843992002</v>
      </c>
      <c r="F17" s="171">
        <f t="shared" si="0"/>
        <v>18595881.76</v>
      </c>
      <c r="G17" s="171">
        <f t="shared" si="0"/>
        <v>22438103.760000005</v>
      </c>
      <c r="H17" s="171">
        <f t="shared" si="0"/>
        <v>27546011.084</v>
      </c>
      <c r="I17" s="171">
        <f t="shared" si="0"/>
        <v>28425929.66312</v>
      </c>
      <c r="J17" s="171">
        <f t="shared" si="0"/>
        <v>31113220.43134584</v>
      </c>
      <c r="K17" s="170">
        <f t="shared" si="0"/>
        <v>22459655.095110007</v>
      </c>
      <c r="L17" s="56">
        <f>K17-G17</f>
        <v>21551.335110001266</v>
      </c>
    </row>
    <row r="18" spans="1:12" ht="18">
      <c r="A18" s="172"/>
      <c r="B18" s="169"/>
      <c r="C18" s="171"/>
      <c r="D18" s="171"/>
      <c r="E18" s="171"/>
      <c r="F18" s="171"/>
      <c r="G18" s="171"/>
      <c r="H18" s="171"/>
      <c r="I18" s="171"/>
      <c r="J18" s="171"/>
      <c r="K18" s="171"/>
      <c r="L18" s="99"/>
    </row>
    <row r="19" spans="1:12" ht="18">
      <c r="A19" s="173" t="s">
        <v>306</v>
      </c>
      <c r="B19" s="174" t="s">
        <v>548</v>
      </c>
      <c r="C19" s="175">
        <f aca="true" t="shared" si="1" ref="C19:K19">C20+C21+C22+C23+C24+C25</f>
        <v>17736212.709</v>
      </c>
      <c r="D19" s="175">
        <f t="shared" si="1"/>
        <v>19155380.853992004</v>
      </c>
      <c r="E19" s="175">
        <f t="shared" si="1"/>
        <v>18570591.843992002</v>
      </c>
      <c r="F19" s="175">
        <f t="shared" si="1"/>
        <v>18570592.76</v>
      </c>
      <c r="G19" s="175">
        <f t="shared" si="1"/>
        <v>22407814.760000005</v>
      </c>
      <c r="H19" s="175">
        <f t="shared" si="1"/>
        <v>27515581.544</v>
      </c>
      <c r="I19" s="175">
        <f t="shared" si="1"/>
        <v>28394480.22692</v>
      </c>
      <c r="J19" s="175">
        <f t="shared" si="1"/>
        <v>31080631.46936844</v>
      </c>
      <c r="K19" s="175">
        <f t="shared" si="1"/>
        <v>22429366.095110007</v>
      </c>
      <c r="L19" s="56">
        <f aca="true" t="shared" si="2" ref="L19:L29">K19-G19</f>
        <v>21551.335110001266</v>
      </c>
    </row>
    <row r="20" spans="1:12" ht="18">
      <c r="A20" s="173" t="s">
        <v>307</v>
      </c>
      <c r="B20" s="176">
        <v>10</v>
      </c>
      <c r="C20" s="175">
        <f aca="true" t="shared" si="3" ref="C20:K20">C35</f>
        <v>83853.361</v>
      </c>
      <c r="D20" s="175">
        <f t="shared" si="3"/>
        <v>73797</v>
      </c>
      <c r="E20" s="175">
        <f t="shared" si="3"/>
        <v>102419</v>
      </c>
      <c r="F20" s="175">
        <f t="shared" si="3"/>
        <v>102419</v>
      </c>
      <c r="G20" s="175">
        <f t="shared" si="3"/>
        <v>106758</v>
      </c>
      <c r="H20" s="175">
        <f t="shared" si="3"/>
        <v>111027.92</v>
      </c>
      <c r="I20" s="175">
        <f t="shared" si="3"/>
        <v>114913.89719999999</v>
      </c>
      <c r="J20" s="175">
        <f t="shared" si="3"/>
        <v>118361.91411599999</v>
      </c>
      <c r="K20" s="175">
        <f t="shared" si="3"/>
        <v>106758</v>
      </c>
      <c r="L20" s="56">
        <f t="shared" si="2"/>
        <v>0</v>
      </c>
    </row>
    <row r="21" spans="1:12" ht="18">
      <c r="A21" s="173" t="s">
        <v>308</v>
      </c>
      <c r="B21" s="176">
        <v>20</v>
      </c>
      <c r="C21" s="175">
        <f aca="true" t="shared" si="4" ref="C21:K21">C36</f>
        <v>233428.703</v>
      </c>
      <c r="D21" s="175">
        <f t="shared" si="4"/>
        <v>270720</v>
      </c>
      <c r="E21" s="175">
        <f t="shared" si="4"/>
        <v>318230</v>
      </c>
      <c r="F21" s="175">
        <f t="shared" si="4"/>
        <v>318230</v>
      </c>
      <c r="G21" s="175">
        <f t="shared" si="4"/>
        <v>375884</v>
      </c>
      <c r="H21" s="175">
        <f t="shared" si="4"/>
        <v>385316.52400000003</v>
      </c>
      <c r="I21" s="175">
        <f t="shared" si="4"/>
        <v>396855.01972</v>
      </c>
      <c r="J21" s="175">
        <f t="shared" si="4"/>
        <v>407557.60525244003</v>
      </c>
      <c r="K21" s="175">
        <f t="shared" si="4"/>
        <v>375884</v>
      </c>
      <c r="L21" s="56">
        <f t="shared" si="2"/>
        <v>0</v>
      </c>
    </row>
    <row r="22" spans="1:12" ht="18">
      <c r="A22" s="177" t="s">
        <v>309</v>
      </c>
      <c r="B22" s="176">
        <v>30</v>
      </c>
      <c r="C22" s="175">
        <f aca="true" t="shared" si="5" ref="C22:K22">C37</f>
        <v>47611.007</v>
      </c>
      <c r="D22" s="175">
        <f t="shared" si="5"/>
        <v>42376</v>
      </c>
      <c r="E22" s="175">
        <f t="shared" si="5"/>
        <v>42519</v>
      </c>
      <c r="F22" s="175">
        <f t="shared" si="5"/>
        <v>32771</v>
      </c>
      <c r="G22" s="175">
        <f t="shared" si="5"/>
        <v>43797</v>
      </c>
      <c r="H22" s="175">
        <f t="shared" si="5"/>
        <v>43884</v>
      </c>
      <c r="I22" s="175">
        <f t="shared" si="5"/>
        <v>43709</v>
      </c>
      <c r="J22" s="175">
        <f t="shared" si="5"/>
        <v>43631</v>
      </c>
      <c r="K22" s="175">
        <f t="shared" si="5"/>
        <v>43797</v>
      </c>
      <c r="L22" s="56">
        <f t="shared" si="2"/>
        <v>0</v>
      </c>
    </row>
    <row r="23" spans="1:12" ht="30.75">
      <c r="A23" s="178" t="s">
        <v>310</v>
      </c>
      <c r="B23" s="176">
        <v>51</v>
      </c>
      <c r="C23" s="175">
        <f aca="true" t="shared" si="6" ref="C23:K23">C38</f>
        <v>126087.341</v>
      </c>
      <c r="D23" s="175">
        <f t="shared" si="6"/>
        <v>64561.28</v>
      </c>
      <c r="E23" s="175">
        <f t="shared" si="6"/>
        <v>7647</v>
      </c>
      <c r="F23" s="175">
        <f t="shared" si="6"/>
        <v>7647</v>
      </c>
      <c r="G23" s="175">
        <f t="shared" si="6"/>
        <v>1712</v>
      </c>
      <c r="H23" s="175">
        <f t="shared" si="6"/>
        <v>1488</v>
      </c>
      <c r="I23" s="175">
        <f t="shared" si="6"/>
        <v>1256</v>
      </c>
      <c r="J23" s="175">
        <f t="shared" si="6"/>
        <v>1287.95</v>
      </c>
      <c r="K23" s="175">
        <f t="shared" si="6"/>
        <v>2023.33511</v>
      </c>
      <c r="L23" s="56">
        <f t="shared" si="2"/>
        <v>311.33511</v>
      </c>
    </row>
    <row r="24" spans="1:12" ht="18">
      <c r="A24" s="178" t="s">
        <v>311</v>
      </c>
      <c r="B24" s="176">
        <v>55</v>
      </c>
      <c r="C24" s="175">
        <f aca="true" t="shared" si="7" ref="C24:K24">C39</f>
        <v>29.204</v>
      </c>
      <c r="D24" s="175">
        <f t="shared" si="7"/>
        <v>12353</v>
      </c>
      <c r="E24" s="175">
        <f t="shared" si="7"/>
        <v>12353</v>
      </c>
      <c r="F24" s="175">
        <f t="shared" si="7"/>
        <v>12353</v>
      </c>
      <c r="G24" s="175">
        <f t="shared" si="7"/>
        <v>11752</v>
      </c>
      <c r="H24" s="175">
        <f t="shared" si="7"/>
        <v>11000</v>
      </c>
      <c r="I24" s="175">
        <f t="shared" si="7"/>
        <v>10000</v>
      </c>
      <c r="J24" s="175">
        <f t="shared" si="7"/>
        <v>10000</v>
      </c>
      <c r="K24" s="175">
        <f t="shared" si="7"/>
        <v>11752</v>
      </c>
      <c r="L24" s="56">
        <f t="shared" si="2"/>
        <v>0</v>
      </c>
    </row>
    <row r="25" spans="1:12" ht="18">
      <c r="A25" s="173" t="s">
        <v>314</v>
      </c>
      <c r="B25" s="176">
        <v>57</v>
      </c>
      <c r="C25" s="175">
        <f aca="true" t="shared" si="8" ref="C25:K25">C40</f>
        <v>17245203.093</v>
      </c>
      <c r="D25" s="175">
        <f t="shared" si="8"/>
        <v>18691573.573992003</v>
      </c>
      <c r="E25" s="175">
        <f t="shared" si="8"/>
        <v>18087423.843992002</v>
      </c>
      <c r="F25" s="175">
        <f t="shared" si="8"/>
        <v>18097172.76</v>
      </c>
      <c r="G25" s="175">
        <f t="shared" si="8"/>
        <v>21867911.760000005</v>
      </c>
      <c r="H25" s="175">
        <f t="shared" si="8"/>
        <v>26962865.1</v>
      </c>
      <c r="I25" s="175">
        <f t="shared" si="8"/>
        <v>27827746.310000002</v>
      </c>
      <c r="J25" s="175">
        <f t="shared" si="8"/>
        <v>30499793</v>
      </c>
      <c r="K25" s="175">
        <f t="shared" si="8"/>
        <v>21889151.760000005</v>
      </c>
      <c r="L25" s="56">
        <f t="shared" si="2"/>
        <v>21240</v>
      </c>
    </row>
    <row r="26" spans="1:12" ht="18">
      <c r="A26" s="173" t="s">
        <v>315</v>
      </c>
      <c r="B26" s="176">
        <v>70</v>
      </c>
      <c r="C26" s="175">
        <f aca="true" t="shared" si="9" ref="C26:K26">C27</f>
        <v>6236.922</v>
      </c>
      <c r="D26" s="175">
        <f t="shared" si="9"/>
        <v>21170</v>
      </c>
      <c r="E26" s="175">
        <f t="shared" si="9"/>
        <v>21170</v>
      </c>
      <c r="F26" s="175">
        <f t="shared" si="9"/>
        <v>21170</v>
      </c>
      <c r="G26" s="175">
        <f t="shared" si="9"/>
        <v>26265</v>
      </c>
      <c r="H26" s="175">
        <f t="shared" si="9"/>
        <v>26196.54</v>
      </c>
      <c r="I26" s="175">
        <f t="shared" si="9"/>
        <v>26982.436199999996</v>
      </c>
      <c r="J26" s="175">
        <f t="shared" si="9"/>
        <v>27790.961977399995</v>
      </c>
      <c r="K26" s="175">
        <f t="shared" si="9"/>
        <v>26265</v>
      </c>
      <c r="L26" s="56">
        <f t="shared" si="2"/>
        <v>0</v>
      </c>
    </row>
    <row r="27" spans="1:12" ht="18">
      <c r="A27" s="173" t="s">
        <v>316</v>
      </c>
      <c r="B27" s="176">
        <v>71</v>
      </c>
      <c r="C27" s="175">
        <f aca="true" t="shared" si="10" ref="C27:K27">C42</f>
        <v>6236.922</v>
      </c>
      <c r="D27" s="175">
        <f t="shared" si="10"/>
        <v>21170</v>
      </c>
      <c r="E27" s="175">
        <f t="shared" si="10"/>
        <v>21170</v>
      </c>
      <c r="F27" s="175">
        <f t="shared" si="10"/>
        <v>21170</v>
      </c>
      <c r="G27" s="175">
        <f t="shared" si="10"/>
        <v>26265</v>
      </c>
      <c r="H27" s="175">
        <f t="shared" si="10"/>
        <v>26196.54</v>
      </c>
      <c r="I27" s="175">
        <f t="shared" si="10"/>
        <v>26982.436199999996</v>
      </c>
      <c r="J27" s="175">
        <f t="shared" si="10"/>
        <v>27790.961977399995</v>
      </c>
      <c r="K27" s="175">
        <f t="shared" si="10"/>
        <v>26265</v>
      </c>
      <c r="L27" s="56">
        <f t="shared" si="2"/>
        <v>0</v>
      </c>
    </row>
    <row r="28" spans="1:12" ht="18">
      <c r="A28" s="173" t="s">
        <v>317</v>
      </c>
      <c r="B28" s="176">
        <v>79</v>
      </c>
      <c r="C28" s="175">
        <f aca="true" t="shared" si="11" ref="C28:K28">C29</f>
        <v>2409.79</v>
      </c>
      <c r="D28" s="175">
        <f t="shared" si="11"/>
        <v>4039</v>
      </c>
      <c r="E28" s="175">
        <f t="shared" si="11"/>
        <v>4119</v>
      </c>
      <c r="F28" s="175">
        <f t="shared" si="11"/>
        <v>4119</v>
      </c>
      <c r="G28" s="175">
        <f t="shared" si="11"/>
        <v>4024</v>
      </c>
      <c r="H28" s="175">
        <f t="shared" si="11"/>
        <v>4233</v>
      </c>
      <c r="I28" s="175">
        <f t="shared" si="11"/>
        <v>4467</v>
      </c>
      <c r="J28" s="175">
        <f t="shared" si="11"/>
        <v>4798</v>
      </c>
      <c r="K28" s="175">
        <f t="shared" si="11"/>
        <v>4024</v>
      </c>
      <c r="L28" s="56">
        <f t="shared" si="2"/>
        <v>0</v>
      </c>
    </row>
    <row r="29" spans="1:12" ht="18">
      <c r="A29" s="173" t="s">
        <v>318</v>
      </c>
      <c r="B29" s="176">
        <v>81</v>
      </c>
      <c r="C29" s="175">
        <f aca="true" t="shared" si="12" ref="C29:K29">C44</f>
        <v>2409.79</v>
      </c>
      <c r="D29" s="175">
        <f t="shared" si="12"/>
        <v>4039</v>
      </c>
      <c r="E29" s="175">
        <f t="shared" si="12"/>
        <v>4119</v>
      </c>
      <c r="F29" s="175">
        <f t="shared" si="12"/>
        <v>4119</v>
      </c>
      <c r="G29" s="175">
        <f t="shared" si="12"/>
        <v>4024</v>
      </c>
      <c r="H29" s="175">
        <f t="shared" si="12"/>
        <v>4233</v>
      </c>
      <c r="I29" s="175">
        <f t="shared" si="12"/>
        <v>4467</v>
      </c>
      <c r="J29" s="175">
        <f t="shared" si="12"/>
        <v>4798</v>
      </c>
      <c r="K29" s="175">
        <f t="shared" si="12"/>
        <v>4024</v>
      </c>
      <c r="L29" s="56">
        <f t="shared" si="2"/>
        <v>0</v>
      </c>
    </row>
    <row r="30" spans="1:12" ht="18">
      <c r="A30" s="173"/>
      <c r="B30" s="179"/>
      <c r="C30" s="56"/>
      <c r="D30" s="56"/>
      <c r="E30" s="56"/>
      <c r="F30" s="56"/>
      <c r="G30" s="56"/>
      <c r="H30" s="56"/>
      <c r="I30" s="56"/>
      <c r="J30" s="56"/>
      <c r="K30" s="56"/>
      <c r="L30" s="99"/>
    </row>
    <row r="31" spans="1:12" ht="18">
      <c r="A31" s="180"/>
      <c r="B31" s="148"/>
      <c r="C31" s="56"/>
      <c r="D31" s="56"/>
      <c r="E31" s="56"/>
      <c r="F31" s="56"/>
      <c r="G31" s="56"/>
      <c r="H31" s="56"/>
      <c r="I31" s="56"/>
      <c r="J31" s="56"/>
      <c r="K31" s="56"/>
      <c r="L31" s="99"/>
    </row>
    <row r="32" spans="1:12" ht="31.5">
      <c r="A32" s="181" t="s">
        <v>319</v>
      </c>
      <c r="C32" s="67">
        <f aca="true" t="shared" si="13" ref="C32:K32">C34+C41+C43</f>
        <v>17744859.420999996</v>
      </c>
      <c r="D32" s="67">
        <f t="shared" si="13"/>
        <v>19180589.853992004</v>
      </c>
      <c r="E32" s="67">
        <f t="shared" si="13"/>
        <v>18595880.843992002</v>
      </c>
      <c r="F32" s="67">
        <f t="shared" si="13"/>
        <v>18595881.76</v>
      </c>
      <c r="G32" s="67">
        <f t="shared" si="13"/>
        <v>22438103.760000005</v>
      </c>
      <c r="H32" s="67">
        <f t="shared" si="13"/>
        <v>27546011.084</v>
      </c>
      <c r="I32" s="67">
        <f t="shared" si="13"/>
        <v>28425929.66312</v>
      </c>
      <c r="J32" s="67">
        <f t="shared" si="13"/>
        <v>31113220.43134584</v>
      </c>
      <c r="K32" s="67">
        <f t="shared" si="13"/>
        <v>22459655.095110007</v>
      </c>
      <c r="L32" s="56">
        <f>K32-G32</f>
        <v>21551.335110001266</v>
      </c>
    </row>
    <row r="33" spans="1:12" ht="18">
      <c r="A33" s="182"/>
      <c r="C33" s="67"/>
      <c r="D33" s="67"/>
      <c r="E33" s="67"/>
      <c r="F33" s="67"/>
      <c r="G33" s="67"/>
      <c r="H33" s="67"/>
      <c r="I33" s="67"/>
      <c r="J33" s="67"/>
      <c r="K33" s="67"/>
      <c r="L33" s="99"/>
    </row>
    <row r="34" spans="1:12" ht="18">
      <c r="A34" s="183" t="s">
        <v>306</v>
      </c>
      <c r="B34" s="184" t="s">
        <v>548</v>
      </c>
      <c r="C34" s="56">
        <f aca="true" t="shared" si="14" ref="C34:K34">C35+C36+C37+C38+C39+C40</f>
        <v>17736212.709</v>
      </c>
      <c r="D34" s="56">
        <f t="shared" si="14"/>
        <v>19155380.853992004</v>
      </c>
      <c r="E34" s="56">
        <f t="shared" si="14"/>
        <v>18570591.843992002</v>
      </c>
      <c r="F34" s="56">
        <f t="shared" si="14"/>
        <v>18570592.76</v>
      </c>
      <c r="G34" s="56">
        <f t="shared" si="14"/>
        <v>22407814.760000005</v>
      </c>
      <c r="H34" s="56">
        <f t="shared" si="14"/>
        <v>27515581.544</v>
      </c>
      <c r="I34" s="56">
        <f t="shared" si="14"/>
        <v>28394480.22692</v>
      </c>
      <c r="J34" s="56">
        <f t="shared" si="14"/>
        <v>31080631.46936844</v>
      </c>
      <c r="K34" s="56">
        <f t="shared" si="14"/>
        <v>22429366.095110007</v>
      </c>
      <c r="L34" s="56">
        <f aca="true" t="shared" si="15" ref="L34:L97">K34-G34</f>
        <v>21551.335110001266</v>
      </c>
    </row>
    <row r="35" spans="1:12" ht="18">
      <c r="A35" s="183" t="s">
        <v>320</v>
      </c>
      <c r="B35" s="184">
        <v>10</v>
      </c>
      <c r="C35" s="56">
        <f aca="true" t="shared" si="16" ref="C35:K35">C51+C175</f>
        <v>83853.361</v>
      </c>
      <c r="D35" s="56">
        <f t="shared" si="16"/>
        <v>73797</v>
      </c>
      <c r="E35" s="56">
        <f t="shared" si="16"/>
        <v>102419</v>
      </c>
      <c r="F35" s="56">
        <f t="shared" si="16"/>
        <v>102419</v>
      </c>
      <c r="G35" s="56">
        <f t="shared" si="16"/>
        <v>106758</v>
      </c>
      <c r="H35" s="56">
        <f t="shared" si="16"/>
        <v>111027.92</v>
      </c>
      <c r="I35" s="56">
        <f t="shared" si="16"/>
        <v>114913.89719999999</v>
      </c>
      <c r="J35" s="56">
        <f t="shared" si="16"/>
        <v>118361.91411599999</v>
      </c>
      <c r="K35" s="56">
        <f t="shared" si="16"/>
        <v>106758</v>
      </c>
      <c r="L35" s="56">
        <f t="shared" si="15"/>
        <v>0</v>
      </c>
    </row>
    <row r="36" spans="1:12" ht="18">
      <c r="A36" s="180" t="s">
        <v>308</v>
      </c>
      <c r="B36" s="185">
        <v>20</v>
      </c>
      <c r="C36" s="56">
        <f aca="true" t="shared" si="17" ref="C36:K36">C85+C208</f>
        <v>233428.703</v>
      </c>
      <c r="D36" s="56">
        <f t="shared" si="17"/>
        <v>270720</v>
      </c>
      <c r="E36" s="56">
        <f t="shared" si="17"/>
        <v>318230</v>
      </c>
      <c r="F36" s="56">
        <f t="shared" si="17"/>
        <v>318230</v>
      </c>
      <c r="G36" s="56">
        <f t="shared" si="17"/>
        <v>375884</v>
      </c>
      <c r="H36" s="56">
        <f t="shared" si="17"/>
        <v>385316.52400000003</v>
      </c>
      <c r="I36" s="56">
        <f t="shared" si="17"/>
        <v>396855.01972</v>
      </c>
      <c r="J36" s="56">
        <f t="shared" si="17"/>
        <v>407557.60525244003</v>
      </c>
      <c r="K36" s="56">
        <f t="shared" si="17"/>
        <v>375884</v>
      </c>
      <c r="L36" s="56">
        <f t="shared" si="15"/>
        <v>0</v>
      </c>
    </row>
    <row r="37" spans="1:12" ht="18">
      <c r="A37" s="180" t="s">
        <v>309</v>
      </c>
      <c r="B37" s="184">
        <v>30</v>
      </c>
      <c r="C37" s="56">
        <f aca="true" t="shared" si="18" ref="C37:K37">C122</f>
        <v>47611.007</v>
      </c>
      <c r="D37" s="56">
        <f t="shared" si="18"/>
        <v>42376</v>
      </c>
      <c r="E37" s="56">
        <f t="shared" si="18"/>
        <v>42519</v>
      </c>
      <c r="F37" s="56">
        <f t="shared" si="18"/>
        <v>32771</v>
      </c>
      <c r="G37" s="56">
        <f t="shared" si="18"/>
        <v>43797</v>
      </c>
      <c r="H37" s="56">
        <f t="shared" si="18"/>
        <v>43884</v>
      </c>
      <c r="I37" s="56">
        <f t="shared" si="18"/>
        <v>43709</v>
      </c>
      <c r="J37" s="56">
        <f t="shared" si="18"/>
        <v>43631</v>
      </c>
      <c r="K37" s="56">
        <f t="shared" si="18"/>
        <v>43797</v>
      </c>
      <c r="L37" s="56">
        <f t="shared" si="15"/>
        <v>0</v>
      </c>
    </row>
    <row r="38" spans="1:12" ht="30.75">
      <c r="A38" s="186" t="s">
        <v>321</v>
      </c>
      <c r="B38" s="184">
        <v>51</v>
      </c>
      <c r="C38" s="56">
        <f aca="true" t="shared" si="19" ref="C38:K38">C128+C237</f>
        <v>126087.341</v>
      </c>
      <c r="D38" s="56">
        <f t="shared" si="19"/>
        <v>64561.28</v>
      </c>
      <c r="E38" s="56">
        <f t="shared" si="19"/>
        <v>7647</v>
      </c>
      <c r="F38" s="56">
        <f t="shared" si="19"/>
        <v>7647</v>
      </c>
      <c r="G38" s="56">
        <f t="shared" si="19"/>
        <v>1712</v>
      </c>
      <c r="H38" s="56">
        <f t="shared" si="19"/>
        <v>1488</v>
      </c>
      <c r="I38" s="56">
        <f t="shared" si="19"/>
        <v>1256</v>
      </c>
      <c r="J38" s="56">
        <f t="shared" si="19"/>
        <v>1287.95</v>
      </c>
      <c r="K38" s="56">
        <f t="shared" si="19"/>
        <v>2023.33511</v>
      </c>
      <c r="L38" s="56">
        <f t="shared" si="15"/>
        <v>311.33511</v>
      </c>
    </row>
    <row r="39" spans="1:12" ht="18">
      <c r="A39" s="180" t="s">
        <v>322</v>
      </c>
      <c r="B39" s="184">
        <v>55</v>
      </c>
      <c r="C39" s="56">
        <f aca="true" t="shared" si="20" ref="C39:K39">C241</f>
        <v>29.204</v>
      </c>
      <c r="D39" s="56">
        <f t="shared" si="20"/>
        <v>12353</v>
      </c>
      <c r="E39" s="56">
        <f t="shared" si="20"/>
        <v>12353</v>
      </c>
      <c r="F39" s="56">
        <f t="shared" si="20"/>
        <v>12353</v>
      </c>
      <c r="G39" s="56">
        <f t="shared" si="20"/>
        <v>11752</v>
      </c>
      <c r="H39" s="56">
        <f t="shared" si="20"/>
        <v>11000</v>
      </c>
      <c r="I39" s="56">
        <f t="shared" si="20"/>
        <v>10000</v>
      </c>
      <c r="J39" s="56">
        <f t="shared" si="20"/>
        <v>10000</v>
      </c>
      <c r="K39" s="56">
        <f t="shared" si="20"/>
        <v>11752</v>
      </c>
      <c r="L39" s="56">
        <f t="shared" si="15"/>
        <v>0</v>
      </c>
    </row>
    <row r="40" spans="1:12" ht="18">
      <c r="A40" s="180" t="s">
        <v>323</v>
      </c>
      <c r="B40" s="184">
        <v>57</v>
      </c>
      <c r="C40" s="56">
        <f aca="true" t="shared" si="21" ref="C40:K40">C132+C245</f>
        <v>17245203.093</v>
      </c>
      <c r="D40" s="56">
        <f t="shared" si="21"/>
        <v>18691573.573992003</v>
      </c>
      <c r="E40" s="56">
        <f t="shared" si="21"/>
        <v>18087423.843992002</v>
      </c>
      <c r="F40" s="56">
        <f t="shared" si="21"/>
        <v>18097172.76</v>
      </c>
      <c r="G40" s="56">
        <f t="shared" si="21"/>
        <v>21867911.760000005</v>
      </c>
      <c r="H40" s="56">
        <f t="shared" si="21"/>
        <v>26962865.1</v>
      </c>
      <c r="I40" s="56">
        <f t="shared" si="21"/>
        <v>27827746.310000002</v>
      </c>
      <c r="J40" s="56">
        <f t="shared" si="21"/>
        <v>30499793</v>
      </c>
      <c r="K40" s="56">
        <f t="shared" si="21"/>
        <v>21889151.760000005</v>
      </c>
      <c r="L40" s="56">
        <f t="shared" si="15"/>
        <v>21240</v>
      </c>
    </row>
    <row r="41" spans="1:12" ht="18">
      <c r="A41" s="180" t="s">
        <v>324</v>
      </c>
      <c r="B41" s="184">
        <v>70</v>
      </c>
      <c r="C41" s="56">
        <f aca="true" t="shared" si="22" ref="C41:K41">C42</f>
        <v>6236.922</v>
      </c>
      <c r="D41" s="56">
        <f t="shared" si="22"/>
        <v>21170</v>
      </c>
      <c r="E41" s="56">
        <f t="shared" si="22"/>
        <v>21170</v>
      </c>
      <c r="F41" s="56">
        <f t="shared" si="22"/>
        <v>21170</v>
      </c>
      <c r="G41" s="56">
        <f t="shared" si="22"/>
        <v>26265</v>
      </c>
      <c r="H41" s="56">
        <f t="shared" si="22"/>
        <v>26196.54</v>
      </c>
      <c r="I41" s="56">
        <f t="shared" si="22"/>
        <v>26982.436199999996</v>
      </c>
      <c r="J41" s="56">
        <f t="shared" si="22"/>
        <v>27790.961977399995</v>
      </c>
      <c r="K41" s="56">
        <f t="shared" si="22"/>
        <v>26265</v>
      </c>
      <c r="L41" s="56">
        <f t="shared" si="15"/>
        <v>0</v>
      </c>
    </row>
    <row r="42" spans="1:12" ht="18">
      <c r="A42" s="180" t="s">
        <v>325</v>
      </c>
      <c r="B42" s="184">
        <v>71</v>
      </c>
      <c r="C42" s="56">
        <f aca="true" t="shared" si="23" ref="C42:K42">C140+C251</f>
        <v>6236.922</v>
      </c>
      <c r="D42" s="56">
        <f t="shared" si="23"/>
        <v>21170</v>
      </c>
      <c r="E42" s="56">
        <f t="shared" si="23"/>
        <v>21170</v>
      </c>
      <c r="F42" s="56">
        <f t="shared" si="23"/>
        <v>21170</v>
      </c>
      <c r="G42" s="56">
        <f t="shared" si="23"/>
        <v>26265</v>
      </c>
      <c r="H42" s="56">
        <f t="shared" si="23"/>
        <v>26196.54</v>
      </c>
      <c r="I42" s="56">
        <f t="shared" si="23"/>
        <v>26982.436199999996</v>
      </c>
      <c r="J42" s="56">
        <f t="shared" si="23"/>
        <v>27790.961977399995</v>
      </c>
      <c r="K42" s="56">
        <f t="shared" si="23"/>
        <v>26265</v>
      </c>
      <c r="L42" s="56">
        <f t="shared" si="15"/>
        <v>0</v>
      </c>
    </row>
    <row r="43" spans="1:12" ht="18">
      <c r="A43" s="187" t="s">
        <v>326</v>
      </c>
      <c r="B43" s="184">
        <v>79</v>
      </c>
      <c r="C43" s="56">
        <f aca="true" t="shared" si="24" ref="C43:K45">C44</f>
        <v>2409.79</v>
      </c>
      <c r="D43" s="56">
        <f t="shared" si="24"/>
        <v>4039</v>
      </c>
      <c r="E43" s="56">
        <f t="shared" si="24"/>
        <v>4119</v>
      </c>
      <c r="F43" s="56">
        <f t="shared" si="24"/>
        <v>4119</v>
      </c>
      <c r="G43" s="56">
        <f t="shared" si="24"/>
        <v>4024</v>
      </c>
      <c r="H43" s="56">
        <f t="shared" si="24"/>
        <v>4233</v>
      </c>
      <c r="I43" s="56">
        <f t="shared" si="24"/>
        <v>4467</v>
      </c>
      <c r="J43" s="56">
        <f t="shared" si="24"/>
        <v>4798</v>
      </c>
      <c r="K43" s="56">
        <f t="shared" si="24"/>
        <v>4024</v>
      </c>
      <c r="L43" s="56">
        <f t="shared" si="15"/>
        <v>0</v>
      </c>
    </row>
    <row r="44" spans="1:12" ht="18">
      <c r="A44" s="180" t="s">
        <v>327</v>
      </c>
      <c r="B44" s="184">
        <v>81</v>
      </c>
      <c r="C44" s="56">
        <f t="shared" si="24"/>
        <v>2409.79</v>
      </c>
      <c r="D44" s="56">
        <f t="shared" si="24"/>
        <v>4039</v>
      </c>
      <c r="E44" s="56">
        <f t="shared" si="24"/>
        <v>4119</v>
      </c>
      <c r="F44" s="56">
        <f t="shared" si="24"/>
        <v>4119</v>
      </c>
      <c r="G44" s="56">
        <f t="shared" si="24"/>
        <v>4024</v>
      </c>
      <c r="H44" s="56">
        <f t="shared" si="24"/>
        <v>4233</v>
      </c>
      <c r="I44" s="56">
        <f t="shared" si="24"/>
        <v>4467</v>
      </c>
      <c r="J44" s="56">
        <f t="shared" si="24"/>
        <v>4798</v>
      </c>
      <c r="K44" s="56">
        <f t="shared" si="24"/>
        <v>4024</v>
      </c>
      <c r="L44" s="56">
        <f t="shared" si="15"/>
        <v>0</v>
      </c>
    </row>
    <row r="45" spans="1:12" ht="18">
      <c r="A45" s="180" t="s">
        <v>328</v>
      </c>
      <c r="B45" s="184" t="s">
        <v>549</v>
      </c>
      <c r="C45" s="56">
        <f t="shared" si="24"/>
        <v>2409.79</v>
      </c>
      <c r="D45" s="56">
        <f t="shared" si="24"/>
        <v>4039</v>
      </c>
      <c r="E45" s="56">
        <f t="shared" si="24"/>
        <v>4119</v>
      </c>
      <c r="F45" s="56">
        <f t="shared" si="24"/>
        <v>4119</v>
      </c>
      <c r="G45" s="56">
        <f t="shared" si="24"/>
        <v>4024</v>
      </c>
      <c r="H45" s="56">
        <f t="shared" si="24"/>
        <v>4233</v>
      </c>
      <c r="I45" s="56">
        <f t="shared" si="24"/>
        <v>4467</v>
      </c>
      <c r="J45" s="56">
        <f t="shared" si="24"/>
        <v>4798</v>
      </c>
      <c r="K45" s="56">
        <f t="shared" si="24"/>
        <v>4024</v>
      </c>
      <c r="L45" s="56">
        <f t="shared" si="15"/>
        <v>0</v>
      </c>
    </row>
    <row r="46" spans="1:12" ht="30.75">
      <c r="A46" s="186" t="s">
        <v>329</v>
      </c>
      <c r="B46" s="184" t="s">
        <v>550</v>
      </c>
      <c r="C46" s="56">
        <f aca="true" t="shared" si="25" ref="C46:K46">C151+C262</f>
        <v>2409.79</v>
      </c>
      <c r="D46" s="56">
        <f t="shared" si="25"/>
        <v>4039</v>
      </c>
      <c r="E46" s="56">
        <f t="shared" si="25"/>
        <v>4119</v>
      </c>
      <c r="F46" s="56">
        <f t="shared" si="25"/>
        <v>4119</v>
      </c>
      <c r="G46" s="56">
        <f t="shared" si="25"/>
        <v>4024</v>
      </c>
      <c r="H46" s="56">
        <f t="shared" si="25"/>
        <v>4233</v>
      </c>
      <c r="I46" s="56">
        <f t="shared" si="25"/>
        <v>4467</v>
      </c>
      <c r="J46" s="56">
        <f t="shared" si="25"/>
        <v>4798</v>
      </c>
      <c r="K46" s="56">
        <f t="shared" si="25"/>
        <v>4024</v>
      </c>
      <c r="L46" s="56">
        <f t="shared" si="15"/>
        <v>0</v>
      </c>
    </row>
    <row r="47" spans="1:12" ht="18">
      <c r="A47" s="188"/>
      <c r="B47" s="184"/>
      <c r="C47" s="67"/>
      <c r="D47" s="67"/>
      <c r="E47" s="67"/>
      <c r="F47" s="67"/>
      <c r="G47" s="67"/>
      <c r="H47" s="67"/>
      <c r="I47" s="67"/>
      <c r="J47" s="67"/>
      <c r="K47" s="67"/>
      <c r="L47" s="56">
        <f t="shared" si="15"/>
        <v>0</v>
      </c>
    </row>
    <row r="48" spans="1:12" ht="31.5">
      <c r="A48" s="181" t="s">
        <v>330</v>
      </c>
      <c r="B48" s="105" t="s">
        <v>551</v>
      </c>
      <c r="C48" s="67">
        <f aca="true" t="shared" si="26" ref="C48:K48">C50+C139+C148</f>
        <v>17734728.09</v>
      </c>
      <c r="D48" s="67">
        <f t="shared" si="26"/>
        <v>19077068.040000003</v>
      </c>
      <c r="E48" s="67">
        <f t="shared" si="26"/>
        <v>18491609.03</v>
      </c>
      <c r="F48" s="67">
        <f t="shared" si="26"/>
        <v>18565109.214</v>
      </c>
      <c r="G48" s="67">
        <f t="shared" si="26"/>
        <v>22332737.120000005</v>
      </c>
      <c r="H48" s="67">
        <f t="shared" si="26"/>
        <v>27425572.252</v>
      </c>
      <c r="I48" s="67">
        <f t="shared" si="26"/>
        <v>28298331.571160004</v>
      </c>
      <c r="J48" s="67">
        <f t="shared" si="26"/>
        <v>30977518.223900918</v>
      </c>
      <c r="K48" s="67">
        <f t="shared" si="26"/>
        <v>22353977.120000005</v>
      </c>
      <c r="L48" s="56">
        <f t="shared" si="15"/>
        <v>21240</v>
      </c>
    </row>
    <row r="49" spans="1:12" ht="18">
      <c r="A49" s="183"/>
      <c r="B49" s="189"/>
      <c r="C49" s="56"/>
      <c r="D49" s="56"/>
      <c r="E49" s="56"/>
      <c r="F49" s="56"/>
      <c r="G49" s="56"/>
      <c r="H49" s="56"/>
      <c r="I49" s="56"/>
      <c r="J49" s="56"/>
      <c r="K49" s="56"/>
      <c r="L49" s="56">
        <f t="shared" si="15"/>
        <v>0</v>
      </c>
    </row>
    <row r="50" spans="1:12" ht="18">
      <c r="A50" s="183" t="s">
        <v>331</v>
      </c>
      <c r="B50" s="184" t="s">
        <v>548</v>
      </c>
      <c r="C50" s="56">
        <f aca="true" t="shared" si="27" ref="C50:K50">C51+C85+C122+C128+C132</f>
        <v>17727188.691</v>
      </c>
      <c r="D50" s="56">
        <f t="shared" si="27"/>
        <v>19055716.040000003</v>
      </c>
      <c r="E50" s="56">
        <f t="shared" si="27"/>
        <v>18470177.03</v>
      </c>
      <c r="F50" s="56">
        <f t="shared" si="27"/>
        <v>18543177.214</v>
      </c>
      <c r="G50" s="56">
        <f t="shared" si="27"/>
        <v>22306479.120000005</v>
      </c>
      <c r="H50" s="56">
        <f t="shared" si="27"/>
        <v>27399313.828</v>
      </c>
      <c r="I50" s="56">
        <f t="shared" si="27"/>
        <v>28271179.384440005</v>
      </c>
      <c r="J50" s="56">
        <f t="shared" si="27"/>
        <v>30949354.53713948</v>
      </c>
      <c r="K50" s="56">
        <f t="shared" si="27"/>
        <v>22327719.120000005</v>
      </c>
      <c r="L50" s="56">
        <f t="shared" si="15"/>
        <v>21240</v>
      </c>
    </row>
    <row r="51" spans="1:12" ht="18">
      <c r="A51" s="190" t="s">
        <v>332</v>
      </c>
      <c r="B51" s="184">
        <v>10</v>
      </c>
      <c r="C51" s="56">
        <f>C52+C70+C78</f>
        <v>81766.628</v>
      </c>
      <c r="D51" s="56">
        <f>D52+D70+D78</f>
        <v>70577</v>
      </c>
      <c r="E51" s="56">
        <f>E52+E70+E78</f>
        <v>98449</v>
      </c>
      <c r="F51" s="56">
        <f>F52+F70+F78</f>
        <v>98449</v>
      </c>
      <c r="G51" s="56">
        <f>G52+G70+G78</f>
        <v>101973</v>
      </c>
      <c r="H51" s="56">
        <f>Fundamentare!G117</f>
        <v>106051.52</v>
      </c>
      <c r="I51" s="56">
        <f>Fundamentare!H117</f>
        <v>109763.3232</v>
      </c>
      <c r="J51" s="56">
        <f>Fundamentare!I117</f>
        <v>113056.22289599999</v>
      </c>
      <c r="K51" s="56">
        <f>K52+K70+K78</f>
        <v>101973</v>
      </c>
      <c r="L51" s="56">
        <f t="shared" si="15"/>
        <v>0</v>
      </c>
    </row>
    <row r="52" spans="1:12" ht="18">
      <c r="A52" s="141" t="s">
        <v>223</v>
      </c>
      <c r="B52" s="191">
        <v>38362</v>
      </c>
      <c r="C52" s="56">
        <f aca="true" t="shared" si="28" ref="C52:K52">SUM(C53:C69)</f>
        <v>62798.83699999999</v>
      </c>
      <c r="D52" s="56">
        <f t="shared" si="28"/>
        <v>54160</v>
      </c>
      <c r="E52" s="56">
        <f t="shared" si="28"/>
        <v>75876</v>
      </c>
      <c r="F52" s="56">
        <f t="shared" si="28"/>
        <v>75876</v>
      </c>
      <c r="G52" s="56">
        <f t="shared" si="28"/>
        <v>78187</v>
      </c>
      <c r="H52" s="56">
        <f t="shared" si="28"/>
        <v>0</v>
      </c>
      <c r="I52" s="56">
        <f t="shared" si="28"/>
        <v>0</v>
      </c>
      <c r="J52" s="56">
        <f t="shared" si="28"/>
        <v>0</v>
      </c>
      <c r="K52" s="56">
        <f t="shared" si="28"/>
        <v>78187</v>
      </c>
      <c r="L52" s="56">
        <f t="shared" si="15"/>
        <v>0</v>
      </c>
    </row>
    <row r="53" spans="1:12" ht="18">
      <c r="A53" s="187" t="s">
        <v>83</v>
      </c>
      <c r="B53" s="191" t="s">
        <v>555</v>
      </c>
      <c r="C53" s="77">
        <f>Fundamentare!B122</f>
        <v>40276.82</v>
      </c>
      <c r="D53" s="77">
        <f>Fundamentare!C122</f>
        <v>40482</v>
      </c>
      <c r="E53" s="77">
        <f>Fundamentare!D122</f>
        <v>40946</v>
      </c>
      <c r="F53" s="77">
        <f>Fundamentare!E122</f>
        <v>40946</v>
      </c>
      <c r="G53" s="77">
        <f>Fundamentare!F122</f>
        <v>46456</v>
      </c>
      <c r="H53" s="77">
        <f>Fundamentare!G122</f>
        <v>0</v>
      </c>
      <c r="I53" s="77">
        <f>Fundamentare!H122</f>
        <v>0</v>
      </c>
      <c r="J53" s="77">
        <f>Fundamentare!I122</f>
        <v>0</v>
      </c>
      <c r="K53" s="77">
        <f>Fundamentare!J122</f>
        <v>46456</v>
      </c>
      <c r="L53" s="56">
        <f t="shared" si="15"/>
        <v>0</v>
      </c>
    </row>
    <row r="54" spans="1:12" ht="18">
      <c r="A54" s="187" t="s">
        <v>84</v>
      </c>
      <c r="B54" s="191" t="s">
        <v>556</v>
      </c>
      <c r="C54" s="77">
        <f>Fundamentare!B123</f>
        <v>1164.433</v>
      </c>
      <c r="D54" s="77">
        <f>Fundamentare!C123</f>
        <v>1200</v>
      </c>
      <c r="E54" s="77">
        <f>Fundamentare!D123</f>
        <v>1400</v>
      </c>
      <c r="F54" s="77">
        <f>Fundamentare!E123</f>
        <v>1400</v>
      </c>
      <c r="G54" s="77">
        <f>Fundamentare!F123</f>
        <v>1500</v>
      </c>
      <c r="H54" s="77">
        <f>Fundamentare!G123</f>
        <v>0</v>
      </c>
      <c r="I54" s="77">
        <f>Fundamentare!H123</f>
        <v>0</v>
      </c>
      <c r="J54" s="77">
        <f>Fundamentare!I123</f>
        <v>0</v>
      </c>
      <c r="K54" s="77">
        <f>Fundamentare!J123</f>
        <v>1500</v>
      </c>
      <c r="L54" s="56">
        <f t="shared" si="15"/>
        <v>0</v>
      </c>
    </row>
    <row r="55" spans="1:12" ht="18">
      <c r="A55" s="187" t="s">
        <v>85</v>
      </c>
      <c r="B55" s="191" t="s">
        <v>557</v>
      </c>
      <c r="C55" s="77">
        <f>Fundamentare!B124</f>
        <v>1686.108</v>
      </c>
      <c r="D55" s="77">
        <f>Fundamentare!C124</f>
        <v>1600</v>
      </c>
      <c r="E55" s="77">
        <f>Fundamentare!D124</f>
        <v>2100</v>
      </c>
      <c r="F55" s="77">
        <f>Fundamentare!E124</f>
        <v>2100</v>
      </c>
      <c r="G55" s="77">
        <f>Fundamentare!F124</f>
        <v>2200</v>
      </c>
      <c r="H55" s="77">
        <f>Fundamentare!G124</f>
        <v>0</v>
      </c>
      <c r="I55" s="77">
        <f>Fundamentare!H124</f>
        <v>0</v>
      </c>
      <c r="J55" s="77">
        <f>Fundamentare!I124</f>
        <v>0</v>
      </c>
      <c r="K55" s="77">
        <f>Fundamentare!J124</f>
        <v>2200</v>
      </c>
      <c r="L55" s="56">
        <f t="shared" si="15"/>
        <v>0</v>
      </c>
    </row>
    <row r="56" spans="1:12" ht="18">
      <c r="A56" s="187" t="s">
        <v>86</v>
      </c>
      <c r="B56" s="191" t="s">
        <v>558</v>
      </c>
      <c r="C56" s="77">
        <f>Fundamentare!B125</f>
        <v>6892.169</v>
      </c>
      <c r="D56" s="77">
        <f>Fundamentare!C125</f>
        <v>5735</v>
      </c>
      <c r="E56" s="77">
        <f>Fundamentare!D125</f>
        <v>8000</v>
      </c>
      <c r="F56" s="77">
        <f>Fundamentare!E125</f>
        <v>8000</v>
      </c>
      <c r="G56" s="77">
        <f>Fundamentare!F125</f>
        <v>6770</v>
      </c>
      <c r="H56" s="77">
        <f>Fundamentare!G125</f>
        <v>0</v>
      </c>
      <c r="I56" s="77">
        <f>Fundamentare!H125</f>
        <v>0</v>
      </c>
      <c r="J56" s="77">
        <f>Fundamentare!I125</f>
        <v>0</v>
      </c>
      <c r="K56" s="77">
        <f>Fundamentare!J125</f>
        <v>6770</v>
      </c>
      <c r="L56" s="56">
        <f t="shared" si="15"/>
        <v>0</v>
      </c>
    </row>
    <row r="57" spans="1:12" ht="18">
      <c r="A57" s="187" t="s">
        <v>87</v>
      </c>
      <c r="B57" s="191" t="s">
        <v>559</v>
      </c>
      <c r="C57" s="77">
        <f>Fundamentare!B126</f>
        <v>367.479</v>
      </c>
      <c r="D57" s="77">
        <f>Fundamentare!C126</f>
        <v>400</v>
      </c>
      <c r="E57" s="77">
        <f>Fundamentare!D126</f>
        <v>773</v>
      </c>
      <c r="F57" s="77">
        <f>Fundamentare!E126</f>
        <v>773</v>
      </c>
      <c r="G57" s="77">
        <f>Fundamentare!F126</f>
        <v>850</v>
      </c>
      <c r="H57" s="77">
        <f>Fundamentare!G126</f>
        <v>0</v>
      </c>
      <c r="I57" s="77">
        <f>Fundamentare!H126</f>
        <v>0</v>
      </c>
      <c r="J57" s="77">
        <f>Fundamentare!I126</f>
        <v>0</v>
      </c>
      <c r="K57" s="77">
        <f>Fundamentare!J126</f>
        <v>850</v>
      </c>
      <c r="L57" s="56">
        <f t="shared" si="15"/>
        <v>0</v>
      </c>
    </row>
    <row r="58" spans="1:12" ht="18">
      <c r="A58" s="187" t="s">
        <v>88</v>
      </c>
      <c r="B58" s="191" t="s">
        <v>560</v>
      </c>
      <c r="C58" s="77">
        <f>Fundamentare!B127</f>
        <v>434.255</v>
      </c>
      <c r="D58" s="77">
        <f>Fundamentare!C127</f>
        <v>280</v>
      </c>
      <c r="E58" s="77">
        <f>Fundamentare!D127</f>
        <v>687</v>
      </c>
      <c r="F58" s="77">
        <f>Fundamentare!E127</f>
        <v>687</v>
      </c>
      <c r="G58" s="77">
        <f>Fundamentare!F127</f>
        <v>700</v>
      </c>
      <c r="H58" s="77">
        <f>Fundamentare!G127</f>
        <v>0</v>
      </c>
      <c r="I58" s="77">
        <f>Fundamentare!H127</f>
        <v>0</v>
      </c>
      <c r="J58" s="77">
        <f>Fundamentare!I127</f>
        <v>0</v>
      </c>
      <c r="K58" s="77">
        <f>Fundamentare!J127</f>
        <v>700</v>
      </c>
      <c r="L58" s="56">
        <f t="shared" si="15"/>
        <v>0</v>
      </c>
    </row>
    <row r="59" spans="1:12" ht="18">
      <c r="A59" s="187" t="s">
        <v>89</v>
      </c>
      <c r="B59" s="191" t="s">
        <v>561</v>
      </c>
      <c r="C59" s="77">
        <f>Fundamentare!B128</f>
        <v>3962.159</v>
      </c>
      <c r="D59" s="77">
        <f>Fundamentare!C128</f>
        <v>243</v>
      </c>
      <c r="E59" s="77">
        <f>Fundamentare!D128</f>
        <v>7000</v>
      </c>
      <c r="F59" s="77">
        <f>Fundamentare!E128</f>
        <v>7000</v>
      </c>
      <c r="G59" s="77">
        <f>Fundamentare!F128</f>
        <v>6000</v>
      </c>
      <c r="H59" s="77">
        <f>Fundamentare!G128</f>
        <v>0</v>
      </c>
      <c r="I59" s="77">
        <f>Fundamentare!H128</f>
        <v>0</v>
      </c>
      <c r="J59" s="77">
        <f>Fundamentare!I128</f>
        <v>0</v>
      </c>
      <c r="K59" s="77">
        <f>Fundamentare!J128</f>
        <v>6000</v>
      </c>
      <c r="L59" s="56">
        <f t="shared" si="15"/>
        <v>0</v>
      </c>
    </row>
    <row r="60" spans="1:12" ht="18">
      <c r="A60" s="187" t="s">
        <v>90</v>
      </c>
      <c r="B60" s="191" t="s">
        <v>562</v>
      </c>
      <c r="C60" s="77">
        <f>Fundamentare!B129</f>
        <v>6034.773</v>
      </c>
      <c r="D60" s="77">
        <f>Fundamentare!C129</f>
        <v>3900</v>
      </c>
      <c r="E60" s="77">
        <f>Fundamentare!D129</f>
        <v>8000</v>
      </c>
      <c r="F60" s="77">
        <f>Fundamentare!E129</f>
        <v>8000</v>
      </c>
      <c r="G60" s="77">
        <f>Fundamentare!F129</f>
        <v>6500</v>
      </c>
      <c r="H60" s="77">
        <f>Fundamentare!G129</f>
        <v>0</v>
      </c>
      <c r="I60" s="77">
        <f>Fundamentare!H129</f>
        <v>0</v>
      </c>
      <c r="J60" s="77">
        <f>Fundamentare!I129</f>
        <v>0</v>
      </c>
      <c r="K60" s="77">
        <f>Fundamentare!J129</f>
        <v>6500</v>
      </c>
      <c r="L60" s="56">
        <f t="shared" si="15"/>
        <v>0</v>
      </c>
    </row>
    <row r="61" spans="1:12" ht="18">
      <c r="A61" s="187" t="s">
        <v>91</v>
      </c>
      <c r="B61" s="191" t="s">
        <v>563</v>
      </c>
      <c r="C61" s="77">
        <f>Fundamentare!B130</f>
        <v>0</v>
      </c>
      <c r="D61" s="77">
        <f>Fundamentare!C130</f>
        <v>0</v>
      </c>
      <c r="E61" s="77">
        <f>Fundamentare!D130</f>
        <v>0</v>
      </c>
      <c r="F61" s="77">
        <f>Fundamentare!E130</f>
        <v>0</v>
      </c>
      <c r="G61" s="77">
        <f>Fundamentare!F130</f>
        <v>3067</v>
      </c>
      <c r="H61" s="77">
        <f>Fundamentare!G130</f>
        <v>0</v>
      </c>
      <c r="I61" s="77">
        <f>Fundamentare!H130</f>
        <v>0</v>
      </c>
      <c r="J61" s="77">
        <f>Fundamentare!I130</f>
        <v>0</v>
      </c>
      <c r="K61" s="77">
        <f>Fundamentare!J130</f>
        <v>3067</v>
      </c>
      <c r="L61" s="56">
        <f t="shared" si="15"/>
        <v>0</v>
      </c>
    </row>
    <row r="62" spans="1:12" ht="30.75">
      <c r="A62" s="188" t="s">
        <v>92</v>
      </c>
      <c r="B62" s="192" t="s">
        <v>564</v>
      </c>
      <c r="C62" s="77">
        <f>Fundamentare!B131</f>
        <v>0</v>
      </c>
      <c r="D62" s="77">
        <f>Fundamentare!C131</f>
        <v>0</v>
      </c>
      <c r="E62" s="77">
        <f>Fundamentare!D131</f>
        <v>0</v>
      </c>
      <c r="F62" s="77">
        <f>Fundamentare!E131</f>
        <v>0</v>
      </c>
      <c r="G62" s="77">
        <f>Fundamentare!F131</f>
        <v>0</v>
      </c>
      <c r="H62" s="77">
        <f>Fundamentare!G131</f>
        <v>0</v>
      </c>
      <c r="I62" s="77">
        <f>Fundamentare!H131</f>
        <v>0</v>
      </c>
      <c r="J62" s="77">
        <f>Fundamentare!I131</f>
        <v>0</v>
      </c>
      <c r="K62" s="77">
        <f>Fundamentare!J131</f>
        <v>0</v>
      </c>
      <c r="L62" s="56">
        <f t="shared" si="15"/>
        <v>0</v>
      </c>
    </row>
    <row r="63" spans="1:12" ht="18">
      <c r="A63" s="187" t="s">
        <v>93</v>
      </c>
      <c r="B63" s="191" t="s">
        <v>565</v>
      </c>
      <c r="C63" s="77">
        <f>Fundamentare!B132</f>
        <v>0</v>
      </c>
      <c r="D63" s="77">
        <f>Fundamentare!C132</f>
        <v>0</v>
      </c>
      <c r="E63" s="77">
        <f>Fundamentare!D132</f>
        <v>0</v>
      </c>
      <c r="F63" s="77">
        <f>Fundamentare!E132</f>
        <v>0</v>
      </c>
      <c r="G63" s="77">
        <f>Fundamentare!F132</f>
        <v>0</v>
      </c>
      <c r="H63" s="77">
        <f>Fundamentare!G132</f>
        <v>0</v>
      </c>
      <c r="I63" s="77">
        <f>Fundamentare!H132</f>
        <v>0</v>
      </c>
      <c r="J63" s="77">
        <f>Fundamentare!I132</f>
        <v>0</v>
      </c>
      <c r="K63" s="77">
        <f>Fundamentare!J132</f>
        <v>0</v>
      </c>
      <c r="L63" s="56">
        <f t="shared" si="15"/>
        <v>0</v>
      </c>
    </row>
    <row r="64" spans="1:12" ht="30.75">
      <c r="A64" s="188" t="s">
        <v>94</v>
      </c>
      <c r="B64" s="191" t="s">
        <v>566</v>
      </c>
      <c r="C64" s="77">
        <f>Fundamentare!B133</f>
        <v>147.077</v>
      </c>
      <c r="D64" s="77">
        <f>Fundamentare!C133</f>
        <v>170</v>
      </c>
      <c r="E64" s="77">
        <f>Fundamentare!D133</f>
        <v>270</v>
      </c>
      <c r="F64" s="77">
        <f>Fundamentare!E133</f>
        <v>270</v>
      </c>
      <c r="G64" s="77">
        <f>Fundamentare!F133</f>
        <v>305</v>
      </c>
      <c r="H64" s="77">
        <f>Fundamentare!G133</f>
        <v>0</v>
      </c>
      <c r="I64" s="77">
        <f>Fundamentare!H133</f>
        <v>0</v>
      </c>
      <c r="J64" s="77">
        <f>Fundamentare!I133</f>
        <v>0</v>
      </c>
      <c r="K64" s="77">
        <f>Fundamentare!J133</f>
        <v>305</v>
      </c>
      <c r="L64" s="56">
        <f t="shared" si="15"/>
        <v>0</v>
      </c>
    </row>
    <row r="65" spans="1:12" ht="18">
      <c r="A65" s="187" t="s">
        <v>95</v>
      </c>
      <c r="B65" s="191" t="s">
        <v>567</v>
      </c>
      <c r="C65" s="77">
        <f>Fundamentare!B134</f>
        <v>0</v>
      </c>
      <c r="D65" s="77">
        <f>Fundamentare!C134</f>
        <v>150</v>
      </c>
      <c r="E65" s="77">
        <f>Fundamentare!D134</f>
        <v>300</v>
      </c>
      <c r="F65" s="77">
        <f>Fundamentare!E134</f>
        <v>300</v>
      </c>
      <c r="G65" s="77">
        <f>Fundamentare!F134</f>
        <v>339</v>
      </c>
      <c r="H65" s="77">
        <f>Fundamentare!G134</f>
        <v>0</v>
      </c>
      <c r="I65" s="77">
        <f>Fundamentare!H134</f>
        <v>0</v>
      </c>
      <c r="J65" s="77">
        <f>Fundamentare!I134</f>
        <v>0</v>
      </c>
      <c r="K65" s="77">
        <f>Fundamentare!J134</f>
        <v>339</v>
      </c>
      <c r="L65" s="56">
        <f t="shared" si="15"/>
        <v>0</v>
      </c>
    </row>
    <row r="66" spans="1:12" ht="18">
      <c r="A66" s="187" t="s">
        <v>96</v>
      </c>
      <c r="B66" s="191" t="s">
        <v>568</v>
      </c>
      <c r="C66" s="77">
        <f>Fundamentare!B135</f>
        <v>321.708</v>
      </c>
      <c r="D66" s="77">
        <f>Fundamentare!C135</f>
        <v>0</v>
      </c>
      <c r="E66" s="77">
        <f>Fundamentare!D135</f>
        <v>0</v>
      </c>
      <c r="F66" s="77">
        <f>Fundamentare!E135</f>
        <v>0</v>
      </c>
      <c r="G66" s="77">
        <f>Fundamentare!F135</f>
        <v>0</v>
      </c>
      <c r="H66" s="77">
        <f>Fundamentare!G135</f>
        <v>0</v>
      </c>
      <c r="I66" s="77">
        <f>Fundamentare!H135</f>
        <v>0</v>
      </c>
      <c r="J66" s="77">
        <f>Fundamentare!I135</f>
        <v>0</v>
      </c>
      <c r="K66" s="77">
        <f>Fundamentare!J135</f>
        <v>0</v>
      </c>
      <c r="L66" s="56">
        <f t="shared" si="15"/>
        <v>0</v>
      </c>
    </row>
    <row r="67" spans="1:12" ht="30.75">
      <c r="A67" s="188" t="s">
        <v>97</v>
      </c>
      <c r="B67" s="191" t="s">
        <v>569</v>
      </c>
      <c r="C67" s="77">
        <f>Fundamentare!B136</f>
        <v>0</v>
      </c>
      <c r="D67" s="77">
        <f>Fundamentare!C136</f>
        <v>0</v>
      </c>
      <c r="E67" s="77">
        <f>Fundamentare!D136</f>
        <v>0</v>
      </c>
      <c r="F67" s="77">
        <f>Fundamentare!E136</f>
        <v>0</v>
      </c>
      <c r="G67" s="77">
        <f>Fundamentare!F136</f>
        <v>0</v>
      </c>
      <c r="H67" s="77">
        <f>Fundamentare!G136</f>
        <v>0</v>
      </c>
      <c r="I67" s="77">
        <f>Fundamentare!H136</f>
        <v>0</v>
      </c>
      <c r="J67" s="77">
        <f>Fundamentare!I136</f>
        <v>0</v>
      </c>
      <c r="K67" s="77">
        <f>Fundamentare!J136</f>
        <v>0</v>
      </c>
      <c r="L67" s="56">
        <f t="shared" si="15"/>
        <v>0</v>
      </c>
    </row>
    <row r="68" spans="1:12" ht="18">
      <c r="A68" s="187" t="s">
        <v>98</v>
      </c>
      <c r="B68" s="191" t="s">
        <v>570</v>
      </c>
      <c r="C68" s="77">
        <f>Fundamentare!B137</f>
        <v>0</v>
      </c>
      <c r="D68" s="77">
        <f>Fundamentare!C137</f>
        <v>0</v>
      </c>
      <c r="E68" s="77">
        <f>Fundamentare!D137</f>
        <v>0</v>
      </c>
      <c r="F68" s="77">
        <f>Fundamentare!E137</f>
        <v>0</v>
      </c>
      <c r="G68" s="77">
        <f>Fundamentare!F137</f>
        <v>0</v>
      </c>
      <c r="H68" s="77">
        <f>Fundamentare!G137</f>
        <v>0</v>
      </c>
      <c r="I68" s="77">
        <f>Fundamentare!H137</f>
        <v>0</v>
      </c>
      <c r="J68" s="77">
        <f>Fundamentare!I137</f>
        <v>0</v>
      </c>
      <c r="K68" s="77">
        <f>Fundamentare!J137</f>
        <v>0</v>
      </c>
      <c r="L68" s="56">
        <f t="shared" si="15"/>
        <v>0</v>
      </c>
    </row>
    <row r="69" spans="1:12" ht="18">
      <c r="A69" s="1" t="s">
        <v>333</v>
      </c>
      <c r="B69" s="191" t="s">
        <v>616</v>
      </c>
      <c r="C69" s="77">
        <f>Fundamentare!B138</f>
        <v>1511.856</v>
      </c>
      <c r="D69" s="77">
        <f>Fundamentare!C138</f>
        <v>0</v>
      </c>
      <c r="E69" s="77">
        <f>Fundamentare!D138</f>
        <v>6400</v>
      </c>
      <c r="F69" s="77">
        <f>Fundamentare!E138</f>
        <v>6400</v>
      </c>
      <c r="G69" s="77">
        <f>Fundamentare!F138</f>
        <v>3500</v>
      </c>
      <c r="H69" s="77">
        <f>Fundamentare!G138</f>
        <v>0</v>
      </c>
      <c r="I69" s="77">
        <f>Fundamentare!H138</f>
        <v>0</v>
      </c>
      <c r="J69" s="77">
        <f>Fundamentare!I138</f>
        <v>0</v>
      </c>
      <c r="K69" s="77">
        <f>Fundamentare!J138</f>
        <v>3500</v>
      </c>
      <c r="L69" s="56">
        <f t="shared" si="15"/>
        <v>0</v>
      </c>
    </row>
    <row r="70" spans="1:12" ht="18">
      <c r="A70" s="187" t="s">
        <v>334</v>
      </c>
      <c r="B70" s="191">
        <v>38393</v>
      </c>
      <c r="C70" s="56">
        <f aca="true" t="shared" si="29" ref="C70:K70">SUM(C71:C76)</f>
        <v>0</v>
      </c>
      <c r="D70" s="56">
        <f t="shared" si="29"/>
        <v>0</v>
      </c>
      <c r="E70" s="56">
        <f t="shared" si="29"/>
        <v>0</v>
      </c>
      <c r="F70" s="56">
        <f t="shared" si="29"/>
        <v>0</v>
      </c>
      <c r="G70" s="56">
        <f t="shared" si="29"/>
        <v>0</v>
      </c>
      <c r="H70" s="56">
        <f t="shared" si="29"/>
        <v>0</v>
      </c>
      <c r="I70" s="56">
        <f t="shared" si="29"/>
        <v>0</v>
      </c>
      <c r="J70" s="56">
        <f t="shared" si="29"/>
        <v>0</v>
      </c>
      <c r="K70" s="56">
        <f t="shared" si="29"/>
        <v>0</v>
      </c>
      <c r="L70" s="56">
        <f t="shared" si="15"/>
        <v>0</v>
      </c>
    </row>
    <row r="71" spans="1:12" ht="18">
      <c r="A71" s="187" t="s">
        <v>101</v>
      </c>
      <c r="B71" s="191" t="s">
        <v>617</v>
      </c>
      <c r="C71" s="77">
        <f>Fundamentare!B140</f>
        <v>0</v>
      </c>
      <c r="D71" s="77">
        <f>Fundamentare!C140</f>
        <v>0</v>
      </c>
      <c r="E71" s="77">
        <f>Fundamentare!D140</f>
        <v>0</v>
      </c>
      <c r="F71" s="77">
        <f>Fundamentare!E140</f>
        <v>0</v>
      </c>
      <c r="G71" s="77">
        <f>Fundamentare!F140</f>
        <v>0</v>
      </c>
      <c r="H71" s="77">
        <f>Fundamentare!G140</f>
        <v>0</v>
      </c>
      <c r="I71" s="77">
        <f>Fundamentare!H140</f>
        <v>0</v>
      </c>
      <c r="J71" s="77">
        <f>Fundamentare!I140</f>
        <v>0</v>
      </c>
      <c r="K71" s="77">
        <f>Fundamentare!J140</f>
        <v>0</v>
      </c>
      <c r="L71" s="56">
        <f t="shared" si="15"/>
        <v>0</v>
      </c>
    </row>
    <row r="72" spans="1:12" ht="18">
      <c r="A72" s="187" t="s">
        <v>102</v>
      </c>
      <c r="B72" s="191" t="s">
        <v>618</v>
      </c>
      <c r="C72" s="77">
        <f>Fundamentare!B141</f>
        <v>0</v>
      </c>
      <c r="D72" s="77">
        <f>Fundamentare!C141</f>
        <v>0</v>
      </c>
      <c r="E72" s="77">
        <f>Fundamentare!D141</f>
        <v>0</v>
      </c>
      <c r="F72" s="77">
        <f>Fundamentare!E141</f>
        <v>0</v>
      </c>
      <c r="G72" s="77">
        <f>Fundamentare!F141</f>
        <v>0</v>
      </c>
      <c r="H72" s="77">
        <f>Fundamentare!G141</f>
        <v>0</v>
      </c>
      <c r="I72" s="77">
        <f>Fundamentare!H141</f>
        <v>0</v>
      </c>
      <c r="J72" s="77">
        <f>Fundamentare!I141</f>
        <v>0</v>
      </c>
      <c r="K72" s="77">
        <f>Fundamentare!J141</f>
        <v>0</v>
      </c>
      <c r="L72" s="56">
        <f t="shared" si="15"/>
        <v>0</v>
      </c>
    </row>
    <row r="73" spans="1:12" ht="30.75">
      <c r="A73" s="188" t="s">
        <v>103</v>
      </c>
      <c r="B73" s="191" t="s">
        <v>619</v>
      </c>
      <c r="C73" s="77">
        <f>Fundamentare!B142</f>
        <v>0</v>
      </c>
      <c r="D73" s="77">
        <f>Fundamentare!C142</f>
        <v>0</v>
      </c>
      <c r="E73" s="77">
        <f>Fundamentare!D142</f>
        <v>0</v>
      </c>
      <c r="F73" s="77">
        <f>Fundamentare!E142</f>
        <v>0</v>
      </c>
      <c r="G73" s="77">
        <f>Fundamentare!F142</f>
        <v>0</v>
      </c>
      <c r="H73" s="77">
        <f>Fundamentare!G142</f>
        <v>0</v>
      </c>
      <c r="I73" s="77">
        <f>Fundamentare!H142</f>
        <v>0</v>
      </c>
      <c r="J73" s="77">
        <f>Fundamentare!I142</f>
        <v>0</v>
      </c>
      <c r="K73" s="77">
        <f>Fundamentare!J142</f>
        <v>0</v>
      </c>
      <c r="L73" s="56">
        <f t="shared" si="15"/>
        <v>0</v>
      </c>
    </row>
    <row r="74" spans="1:12" ht="30.75">
      <c r="A74" s="188" t="s">
        <v>104</v>
      </c>
      <c r="B74" s="191" t="s">
        <v>620</v>
      </c>
      <c r="C74" s="77">
        <f>Fundamentare!B143</f>
        <v>0</v>
      </c>
      <c r="D74" s="77">
        <f>Fundamentare!C143</f>
        <v>0</v>
      </c>
      <c r="E74" s="77">
        <f>Fundamentare!D143</f>
        <v>0</v>
      </c>
      <c r="F74" s="77">
        <f>Fundamentare!E143</f>
        <v>0</v>
      </c>
      <c r="G74" s="77">
        <f>Fundamentare!F143</f>
        <v>0</v>
      </c>
      <c r="H74" s="77">
        <f>Fundamentare!G143</f>
        <v>0</v>
      </c>
      <c r="I74" s="77">
        <f>Fundamentare!H143</f>
        <v>0</v>
      </c>
      <c r="J74" s="77">
        <f>Fundamentare!I143</f>
        <v>0</v>
      </c>
      <c r="K74" s="77">
        <f>Fundamentare!J143</f>
        <v>0</v>
      </c>
      <c r="L74" s="56">
        <f t="shared" si="15"/>
        <v>0</v>
      </c>
    </row>
    <row r="75" spans="1:12" ht="30.75">
      <c r="A75" s="188" t="s">
        <v>105</v>
      </c>
      <c r="B75" s="191" t="s">
        <v>621</v>
      </c>
      <c r="C75" s="77">
        <f>Fundamentare!B144</f>
        <v>0</v>
      </c>
      <c r="D75" s="77">
        <f>Fundamentare!C144</f>
        <v>0</v>
      </c>
      <c r="E75" s="77">
        <f>Fundamentare!D144</f>
        <v>0</v>
      </c>
      <c r="F75" s="77">
        <f>Fundamentare!E144</f>
        <v>0</v>
      </c>
      <c r="G75" s="77">
        <f>Fundamentare!F144</f>
        <v>0</v>
      </c>
      <c r="H75" s="77">
        <f>Fundamentare!G144</f>
        <v>0</v>
      </c>
      <c r="I75" s="77">
        <f>Fundamentare!H144</f>
        <v>0</v>
      </c>
      <c r="J75" s="77">
        <f>Fundamentare!I144</f>
        <v>0</v>
      </c>
      <c r="K75" s="77">
        <f>Fundamentare!J144</f>
        <v>0</v>
      </c>
      <c r="L75" s="56">
        <f t="shared" si="15"/>
        <v>0</v>
      </c>
    </row>
    <row r="76" spans="1:12" ht="18">
      <c r="A76" s="187" t="s">
        <v>106</v>
      </c>
      <c r="B76" s="191" t="s">
        <v>622</v>
      </c>
      <c r="C76" s="77">
        <f>Fundamentare!B145</f>
        <v>0</v>
      </c>
      <c r="D76" s="77">
        <f>Fundamentare!C145</f>
        <v>0</v>
      </c>
      <c r="E76" s="77">
        <f>Fundamentare!D145</f>
        <v>0</v>
      </c>
      <c r="F76" s="77">
        <f>Fundamentare!E145</f>
        <v>0</v>
      </c>
      <c r="G76" s="77">
        <f>Fundamentare!F145</f>
        <v>0</v>
      </c>
      <c r="H76" s="77">
        <f>Fundamentare!G145</f>
        <v>0</v>
      </c>
      <c r="I76" s="77">
        <f>Fundamentare!H145</f>
        <v>0</v>
      </c>
      <c r="J76" s="77">
        <f>Fundamentare!I145</f>
        <v>0</v>
      </c>
      <c r="K76" s="77">
        <f>Fundamentare!J145</f>
        <v>0</v>
      </c>
      <c r="L76" s="56">
        <f t="shared" si="15"/>
        <v>0</v>
      </c>
    </row>
    <row r="77" spans="1:12" ht="18">
      <c r="A77" s="193"/>
      <c r="B77" s="191"/>
      <c r="C77" s="77">
        <f>Fundamentare!B146</f>
        <v>0</v>
      </c>
      <c r="D77" s="77">
        <f>Fundamentare!C146</f>
        <v>0</v>
      </c>
      <c r="E77" s="77">
        <f>Fundamentare!D146</f>
        <v>0</v>
      </c>
      <c r="F77" s="77">
        <f>Fundamentare!E146</f>
        <v>0</v>
      </c>
      <c r="G77" s="77">
        <f>Fundamentare!F146</f>
        <v>0</v>
      </c>
      <c r="H77" s="77">
        <f>Fundamentare!G146</f>
        <v>0</v>
      </c>
      <c r="I77" s="77">
        <f>Fundamentare!H146</f>
        <v>0</v>
      </c>
      <c r="J77" s="77">
        <f>Fundamentare!I146</f>
        <v>0</v>
      </c>
      <c r="K77" s="77">
        <f>Fundamentare!J146</f>
        <v>0</v>
      </c>
      <c r="L77" s="56">
        <f t="shared" si="15"/>
        <v>0</v>
      </c>
    </row>
    <row r="78" spans="1:12" ht="18">
      <c r="A78" s="193" t="s">
        <v>335</v>
      </c>
      <c r="B78" s="191">
        <v>38421</v>
      </c>
      <c r="C78" s="56">
        <f>SUM(C79:C83)</f>
        <v>18967.790999999997</v>
      </c>
      <c r="D78" s="56">
        <f>SUM(D79:D83)</f>
        <v>16417</v>
      </c>
      <c r="E78" s="56">
        <f>SUM(E79:E83)</f>
        <v>22573</v>
      </c>
      <c r="F78" s="56">
        <f>SUM(F79:F83)</f>
        <v>22573</v>
      </c>
      <c r="G78" s="56">
        <f>SUM(G79:G83)</f>
        <v>23786</v>
      </c>
      <c r="H78" s="56">
        <v>0</v>
      </c>
      <c r="I78" s="56">
        <v>0</v>
      </c>
      <c r="J78" s="56">
        <v>0</v>
      </c>
      <c r="K78" s="56">
        <f>SUM(K79:K83)</f>
        <v>23786</v>
      </c>
      <c r="L78" s="56">
        <f t="shared" si="15"/>
        <v>0</v>
      </c>
    </row>
    <row r="79" spans="1:12" ht="30.75">
      <c r="A79" s="21" t="s">
        <v>336</v>
      </c>
      <c r="B79" s="148" t="s">
        <v>623</v>
      </c>
      <c r="C79" s="77">
        <f>Fundamentare!B148</f>
        <v>12665.936</v>
      </c>
      <c r="D79" s="77">
        <f>Fundamentare!C148</f>
        <v>11033</v>
      </c>
      <c r="E79" s="77">
        <f>Fundamentare!D148</f>
        <v>14438</v>
      </c>
      <c r="F79" s="77">
        <f>Fundamentare!E148</f>
        <v>14438</v>
      </c>
      <c r="G79" s="77">
        <f>Fundamentare!F148</f>
        <v>15419</v>
      </c>
      <c r="H79" s="77">
        <f>Fundamentare!G148</f>
        <v>0</v>
      </c>
      <c r="I79" s="77">
        <f>Fundamentare!H148</f>
        <v>0</v>
      </c>
      <c r="J79" s="77">
        <f>Fundamentare!I148</f>
        <v>0</v>
      </c>
      <c r="K79" s="77">
        <f>Fundamentare!J148</f>
        <v>15419</v>
      </c>
      <c r="L79" s="56">
        <f t="shared" si="15"/>
        <v>0</v>
      </c>
    </row>
    <row r="80" spans="1:12" ht="18">
      <c r="A80" s="193" t="s">
        <v>337</v>
      </c>
      <c r="B80" s="148" t="s">
        <v>624</v>
      </c>
      <c r="C80" s="77">
        <f>Fundamentare!B149</f>
        <v>1775.474</v>
      </c>
      <c r="D80" s="77">
        <f>Fundamentare!C149</f>
        <v>1346</v>
      </c>
      <c r="E80" s="77">
        <f>Fundamentare!D149</f>
        <v>1897</v>
      </c>
      <c r="F80" s="77">
        <f>Fundamentare!E149</f>
        <v>1897</v>
      </c>
      <c r="G80" s="77">
        <f>Fundamentare!F149</f>
        <v>1955</v>
      </c>
      <c r="H80" s="77">
        <f>Fundamentare!G149</f>
        <v>0</v>
      </c>
      <c r="I80" s="77">
        <f>Fundamentare!H149</f>
        <v>0</v>
      </c>
      <c r="J80" s="77">
        <f>Fundamentare!I149</f>
        <v>0</v>
      </c>
      <c r="K80" s="77">
        <f>Fundamentare!J149</f>
        <v>1955</v>
      </c>
      <c r="L80" s="56">
        <f t="shared" si="15"/>
        <v>0</v>
      </c>
    </row>
    <row r="81" spans="1:12" ht="30.75">
      <c r="A81" s="21" t="s">
        <v>338</v>
      </c>
      <c r="B81" s="148" t="s">
        <v>625</v>
      </c>
      <c r="C81" s="77">
        <f>Fundamentare!B150</f>
        <v>4216.622</v>
      </c>
      <c r="D81" s="77">
        <f>Fundamentare!C150</f>
        <v>3769</v>
      </c>
      <c r="E81" s="77">
        <f>Fundamentare!D150</f>
        <v>5311</v>
      </c>
      <c r="F81" s="77">
        <f>Fundamentare!E150</f>
        <v>5311</v>
      </c>
      <c r="G81" s="77">
        <f>Fundamentare!F150</f>
        <v>5442</v>
      </c>
      <c r="H81" s="77">
        <f>Fundamentare!G150</f>
        <v>0</v>
      </c>
      <c r="I81" s="77">
        <f>Fundamentare!H150</f>
        <v>0</v>
      </c>
      <c r="J81" s="77">
        <f>Fundamentare!I150</f>
        <v>0</v>
      </c>
      <c r="K81" s="77">
        <f>Fundamentare!J150</f>
        <v>5442</v>
      </c>
      <c r="L81" s="56">
        <f t="shared" si="15"/>
        <v>0</v>
      </c>
    </row>
    <row r="82" spans="1:12" ht="45.75">
      <c r="A82" s="21" t="s">
        <v>339</v>
      </c>
      <c r="B82" s="148" t="s">
        <v>626</v>
      </c>
      <c r="C82" s="77">
        <f>Fundamentare!B151</f>
        <v>309.759</v>
      </c>
      <c r="D82" s="77">
        <f>Fundamentare!C151</f>
        <v>269</v>
      </c>
      <c r="E82" s="77">
        <f>Fundamentare!D151</f>
        <v>379</v>
      </c>
      <c r="F82" s="77">
        <f>Fundamentare!E151</f>
        <v>379</v>
      </c>
      <c r="G82" s="77">
        <f>Fundamentare!F151</f>
        <v>399</v>
      </c>
      <c r="H82" s="77">
        <f>Fundamentare!G151</f>
        <v>0</v>
      </c>
      <c r="I82" s="77">
        <f>Fundamentare!H151</f>
        <v>0</v>
      </c>
      <c r="J82" s="77">
        <f>Fundamentare!I151</f>
        <v>0</v>
      </c>
      <c r="K82" s="77">
        <f>Fundamentare!J151</f>
        <v>399</v>
      </c>
      <c r="L82" s="56">
        <f t="shared" si="15"/>
        <v>0</v>
      </c>
    </row>
    <row r="83" spans="1:12" ht="30.75">
      <c r="A83" s="21" t="s">
        <v>340</v>
      </c>
      <c r="B83" s="148" t="s">
        <v>627</v>
      </c>
      <c r="C83" s="77">
        <f>Fundamentare!B152</f>
        <v>0</v>
      </c>
      <c r="D83" s="77">
        <f>Fundamentare!C152</f>
        <v>0</v>
      </c>
      <c r="E83" s="77">
        <f>Fundamentare!D152</f>
        <v>548</v>
      </c>
      <c r="F83" s="77">
        <f>Fundamentare!E152</f>
        <v>548</v>
      </c>
      <c r="G83" s="77">
        <f>Fundamentare!F152</f>
        <v>571</v>
      </c>
      <c r="H83" s="77">
        <v>0</v>
      </c>
      <c r="I83" s="77">
        <v>0</v>
      </c>
      <c r="J83" s="77">
        <v>0</v>
      </c>
      <c r="K83" s="77">
        <f>Fundamentare!J152</f>
        <v>571</v>
      </c>
      <c r="L83" s="56">
        <f t="shared" si="15"/>
        <v>0</v>
      </c>
    </row>
    <row r="84" spans="1:12" ht="18">
      <c r="A84" s="21"/>
      <c r="B84" s="194"/>
      <c r="C84" s="56"/>
      <c r="D84" s="56"/>
      <c r="E84" s="56"/>
      <c r="F84" s="56"/>
      <c r="G84" s="56"/>
      <c r="H84" s="56"/>
      <c r="I84" s="56"/>
      <c r="J84" s="56"/>
      <c r="K84" s="56"/>
      <c r="L84" s="56">
        <f t="shared" si="15"/>
        <v>0</v>
      </c>
    </row>
    <row r="85" spans="1:12" ht="18">
      <c r="A85" s="182" t="s">
        <v>341</v>
      </c>
      <c r="B85" s="184" t="s">
        <v>628</v>
      </c>
      <c r="C85" s="56">
        <f>C86+C97+C98+C100+C103+C106+C109+C110+C111+C112+C113+C115</f>
        <v>232856.734</v>
      </c>
      <c r="D85" s="56">
        <f>D86+D97+D98+D100+D103+D106+D109+D110+D111+D112+D113+D115</f>
        <v>266456</v>
      </c>
      <c r="E85" s="56">
        <f>E86+E97+E98+E100+E103+E106+E109+E110+E111+E112+E113+E115</f>
        <v>313966</v>
      </c>
      <c r="F85" s="56">
        <f>F86+F97+F98+F100+F103+F106+F109+F110+F111+F112+F113+F115</f>
        <v>313966</v>
      </c>
      <c r="G85" s="56">
        <f>G86+G97+G98+G100+G103+G106+G109+G110+G111+G112+G113+G115</f>
        <v>371428</v>
      </c>
      <c r="H85" s="56">
        <f>Fundamentare!G154</f>
        <v>380700.108</v>
      </c>
      <c r="I85" s="56">
        <f>Fundamentare!H154</f>
        <v>392100.11124</v>
      </c>
      <c r="J85" s="56">
        <f>Fundamentare!I154</f>
        <v>402674.81424348004</v>
      </c>
      <c r="K85" s="56">
        <f>K86+K97+K98+K100+K103+K106+K109+K110+K111+K112+K113+K115</f>
        <v>371428</v>
      </c>
      <c r="L85" s="56">
        <f t="shared" si="15"/>
        <v>0</v>
      </c>
    </row>
    <row r="86" spans="1:12" ht="18">
      <c r="A86" s="180" t="s">
        <v>342</v>
      </c>
      <c r="B86" s="191">
        <v>38372</v>
      </c>
      <c r="C86" s="56">
        <f aca="true" t="shared" si="30" ref="C86:K86">C87+C88+C89+C90+C91+C92+C93+C94+C95+C96</f>
        <v>38159.45</v>
      </c>
      <c r="D86" s="56">
        <f t="shared" si="30"/>
        <v>22675</v>
      </c>
      <c r="E86" s="56">
        <f t="shared" si="30"/>
        <v>41781</v>
      </c>
      <c r="F86" s="56">
        <f t="shared" si="30"/>
        <v>41781</v>
      </c>
      <c r="G86" s="56">
        <f t="shared" si="30"/>
        <v>33117</v>
      </c>
      <c r="H86" s="56">
        <f t="shared" si="30"/>
        <v>0</v>
      </c>
      <c r="I86" s="56">
        <f t="shared" si="30"/>
        <v>0</v>
      </c>
      <c r="J86" s="56">
        <f t="shared" si="30"/>
        <v>0</v>
      </c>
      <c r="K86" s="56">
        <f t="shared" si="30"/>
        <v>33117</v>
      </c>
      <c r="L86" s="56">
        <f t="shared" si="15"/>
        <v>0</v>
      </c>
    </row>
    <row r="87" spans="1:12" ht="18">
      <c r="A87" s="180" t="s">
        <v>343</v>
      </c>
      <c r="B87" s="191" t="s">
        <v>629</v>
      </c>
      <c r="C87" s="77">
        <f>Fundamentare!B158</f>
        <v>4742.471</v>
      </c>
      <c r="D87" s="77">
        <f>Fundamentare!C158</f>
        <v>778</v>
      </c>
      <c r="E87" s="77">
        <f>Fundamentare!D158</f>
        <v>778</v>
      </c>
      <c r="F87" s="77">
        <f>Fundamentare!E158</f>
        <v>778</v>
      </c>
      <c r="G87" s="77">
        <f>Fundamentare!F158</f>
        <v>813</v>
      </c>
      <c r="H87" s="77">
        <f>Fundamentare!G158</f>
        <v>0</v>
      </c>
      <c r="I87" s="77">
        <f>Fundamentare!H158</f>
        <v>0</v>
      </c>
      <c r="J87" s="77">
        <f>Fundamentare!I158</f>
        <v>0</v>
      </c>
      <c r="K87" s="77">
        <f>Fundamentare!J158</f>
        <v>813</v>
      </c>
      <c r="L87" s="56">
        <f t="shared" si="15"/>
        <v>0</v>
      </c>
    </row>
    <row r="88" spans="1:12" ht="18">
      <c r="A88" s="180" t="s">
        <v>344</v>
      </c>
      <c r="B88" s="191" t="s">
        <v>630</v>
      </c>
      <c r="C88" s="77">
        <f>Fundamentare!B159</f>
        <v>310.704</v>
      </c>
      <c r="D88" s="77">
        <f>Fundamentare!C159</f>
        <v>311</v>
      </c>
      <c r="E88" s="77">
        <f>Fundamentare!D159</f>
        <v>311</v>
      </c>
      <c r="F88" s="77">
        <f>Fundamentare!E159</f>
        <v>311</v>
      </c>
      <c r="G88" s="77">
        <f>Fundamentare!F159</f>
        <v>325</v>
      </c>
      <c r="H88" s="77">
        <f>Fundamentare!G159</f>
        <v>0</v>
      </c>
      <c r="I88" s="77">
        <f>Fundamentare!H159</f>
        <v>0</v>
      </c>
      <c r="J88" s="77">
        <f>Fundamentare!I159</f>
        <v>0</v>
      </c>
      <c r="K88" s="77">
        <f>Fundamentare!J159</f>
        <v>325</v>
      </c>
      <c r="L88" s="56">
        <f t="shared" si="15"/>
        <v>0</v>
      </c>
    </row>
    <row r="89" spans="1:12" ht="30.75">
      <c r="A89" s="186" t="s">
        <v>346</v>
      </c>
      <c r="B89" s="191" t="s">
        <v>631</v>
      </c>
      <c r="C89" s="77">
        <f>Fundamentare!B160</f>
        <v>3305.111</v>
      </c>
      <c r="D89" s="77">
        <f>Fundamentare!C160</f>
        <v>2334</v>
      </c>
      <c r="E89" s="77">
        <f>Fundamentare!D160</f>
        <v>2334</v>
      </c>
      <c r="F89" s="77">
        <f>Fundamentare!E160</f>
        <v>2334</v>
      </c>
      <c r="G89" s="77">
        <f>Fundamentare!F160</f>
        <v>2439</v>
      </c>
      <c r="H89" s="77">
        <f>Fundamentare!G160</f>
        <v>0</v>
      </c>
      <c r="I89" s="77">
        <f>Fundamentare!H160</f>
        <v>0</v>
      </c>
      <c r="J89" s="77">
        <f>Fundamentare!I160</f>
        <v>0</v>
      </c>
      <c r="K89" s="77">
        <f>Fundamentare!J160</f>
        <v>2439</v>
      </c>
      <c r="L89" s="56">
        <f t="shared" si="15"/>
        <v>0</v>
      </c>
    </row>
    <row r="90" spans="1:12" ht="18">
      <c r="A90" s="180" t="s">
        <v>347</v>
      </c>
      <c r="B90" s="191" t="s">
        <v>632</v>
      </c>
      <c r="C90" s="77">
        <f>Fundamentare!B161</f>
        <v>438.838</v>
      </c>
      <c r="D90" s="77">
        <f>Fundamentare!C161</f>
        <v>778</v>
      </c>
      <c r="E90" s="77">
        <f>Fundamentare!D161</f>
        <v>778</v>
      </c>
      <c r="F90" s="77">
        <f>Fundamentare!E161</f>
        <v>778</v>
      </c>
      <c r="G90" s="77">
        <f>Fundamentare!F161</f>
        <v>813</v>
      </c>
      <c r="H90" s="77">
        <f>Fundamentare!G161</f>
        <v>0</v>
      </c>
      <c r="I90" s="77">
        <f>Fundamentare!H161</f>
        <v>0</v>
      </c>
      <c r="J90" s="77">
        <f>Fundamentare!I161</f>
        <v>0</v>
      </c>
      <c r="K90" s="77">
        <f>Fundamentare!J161</f>
        <v>813</v>
      </c>
      <c r="L90" s="56">
        <f t="shared" si="15"/>
        <v>0</v>
      </c>
    </row>
    <row r="91" spans="1:12" ht="18">
      <c r="A91" s="180" t="s">
        <v>348</v>
      </c>
      <c r="B91" s="191" t="s">
        <v>633</v>
      </c>
      <c r="C91" s="77">
        <f>Fundamentare!B162</f>
        <v>0</v>
      </c>
      <c r="D91" s="77">
        <f>Fundamentare!C162</f>
        <v>3112</v>
      </c>
      <c r="E91" s="77">
        <f>Fundamentare!D162</f>
        <v>3112</v>
      </c>
      <c r="F91" s="77">
        <f>Fundamentare!E162</f>
        <v>3112</v>
      </c>
      <c r="G91" s="77">
        <f>Fundamentare!F162</f>
        <v>3252</v>
      </c>
      <c r="H91" s="77">
        <f>Fundamentare!G162</f>
        <v>0</v>
      </c>
      <c r="I91" s="77">
        <f>Fundamentare!H162</f>
        <v>0</v>
      </c>
      <c r="J91" s="77">
        <f>Fundamentare!I162</f>
        <v>0</v>
      </c>
      <c r="K91" s="77">
        <f>Fundamentare!J162</f>
        <v>3252</v>
      </c>
      <c r="L91" s="56">
        <f t="shared" si="15"/>
        <v>0</v>
      </c>
    </row>
    <row r="92" spans="1:12" ht="18">
      <c r="A92" s="180" t="s">
        <v>349</v>
      </c>
      <c r="B92" s="191" t="s">
        <v>634</v>
      </c>
      <c r="C92" s="77">
        <f>Fundamentare!B163</f>
        <v>0</v>
      </c>
      <c r="D92" s="77">
        <f>Fundamentare!C163</f>
        <v>467</v>
      </c>
      <c r="E92" s="77">
        <f>Fundamentare!D163</f>
        <v>467</v>
      </c>
      <c r="F92" s="77">
        <f>Fundamentare!E163</f>
        <v>467</v>
      </c>
      <c r="G92" s="77">
        <f>Fundamentare!F163</f>
        <v>488</v>
      </c>
      <c r="H92" s="77">
        <f>Fundamentare!G163</f>
        <v>0</v>
      </c>
      <c r="I92" s="77">
        <f>Fundamentare!H163</f>
        <v>0</v>
      </c>
      <c r="J92" s="77">
        <f>Fundamentare!I163</f>
        <v>0</v>
      </c>
      <c r="K92" s="77">
        <f>Fundamentare!J163</f>
        <v>488</v>
      </c>
      <c r="L92" s="56">
        <f t="shared" si="15"/>
        <v>0</v>
      </c>
    </row>
    <row r="93" spans="1:12" ht="18">
      <c r="A93" s="180" t="s">
        <v>350</v>
      </c>
      <c r="B93" s="191" t="s">
        <v>635</v>
      </c>
      <c r="C93" s="77">
        <f>Fundamentare!B164</f>
        <v>0</v>
      </c>
      <c r="D93" s="77">
        <f>Fundamentare!C164</f>
        <v>55</v>
      </c>
      <c r="E93" s="77">
        <f>Fundamentare!D164</f>
        <v>55</v>
      </c>
      <c r="F93" s="77">
        <f>Fundamentare!E164</f>
        <v>55</v>
      </c>
      <c r="G93" s="77">
        <f>Fundamentare!F164</f>
        <v>57</v>
      </c>
      <c r="H93" s="77">
        <f>Fundamentare!G164</f>
        <v>0</v>
      </c>
      <c r="I93" s="77">
        <f>Fundamentare!H164</f>
        <v>0</v>
      </c>
      <c r="J93" s="77">
        <f>Fundamentare!I164</f>
        <v>0</v>
      </c>
      <c r="K93" s="77">
        <f>Fundamentare!J164</f>
        <v>57</v>
      </c>
      <c r="L93" s="56">
        <f t="shared" si="15"/>
        <v>0</v>
      </c>
    </row>
    <row r="94" spans="1:12" ht="30.75">
      <c r="A94" s="186" t="s">
        <v>351</v>
      </c>
      <c r="B94" s="191" t="s">
        <v>636</v>
      </c>
      <c r="C94" s="77">
        <f>Fundamentare!B165</f>
        <v>4691.832</v>
      </c>
      <c r="D94" s="77">
        <f>Fundamentare!C165</f>
        <v>6132</v>
      </c>
      <c r="E94" s="77">
        <f>Fundamentare!D165</f>
        <v>6132</v>
      </c>
      <c r="F94" s="77">
        <f>Fundamentare!E165</f>
        <v>6132</v>
      </c>
      <c r="G94" s="77">
        <f>Fundamentare!F165</f>
        <v>6408</v>
      </c>
      <c r="H94" s="77">
        <f>Fundamentare!G165</f>
        <v>0</v>
      </c>
      <c r="I94" s="77">
        <f>Fundamentare!H165</f>
        <v>0</v>
      </c>
      <c r="J94" s="77">
        <f>Fundamentare!I165</f>
        <v>0</v>
      </c>
      <c r="K94" s="77">
        <f>Fundamentare!J165</f>
        <v>6408</v>
      </c>
      <c r="L94" s="56">
        <f t="shared" si="15"/>
        <v>0</v>
      </c>
    </row>
    <row r="95" spans="1:12" ht="30.75">
      <c r="A95" s="186" t="s">
        <v>355</v>
      </c>
      <c r="B95" s="191" t="s">
        <v>637</v>
      </c>
      <c r="C95" s="77">
        <f>Fundamentare!B166</f>
        <v>12857.424</v>
      </c>
      <c r="D95" s="77">
        <f>Fundamentare!C166</f>
        <v>263</v>
      </c>
      <c r="E95" s="77">
        <f>Fundamentare!D166</f>
        <v>263</v>
      </c>
      <c r="F95" s="77">
        <f>Fundamentare!E166</f>
        <v>263</v>
      </c>
      <c r="G95" s="77">
        <f>Fundamentare!F166</f>
        <v>275</v>
      </c>
      <c r="H95" s="77">
        <f>Fundamentare!G166</f>
        <v>0</v>
      </c>
      <c r="I95" s="77">
        <f>Fundamentare!H166</f>
        <v>0</v>
      </c>
      <c r="J95" s="77">
        <f>Fundamentare!I166</f>
        <v>0</v>
      </c>
      <c r="K95" s="77">
        <f>Fundamentare!J166</f>
        <v>275</v>
      </c>
      <c r="L95" s="56">
        <f t="shared" si="15"/>
        <v>0</v>
      </c>
    </row>
    <row r="96" spans="1:12" ht="30.75">
      <c r="A96" s="186" t="s">
        <v>356</v>
      </c>
      <c r="B96" s="191" t="s">
        <v>638</v>
      </c>
      <c r="C96" s="77">
        <f>Fundamentare!B169</f>
        <v>11813.07</v>
      </c>
      <c r="D96" s="77">
        <f>Fundamentare!C169</f>
        <v>8445</v>
      </c>
      <c r="E96" s="77">
        <f>Fundamentare!D169</f>
        <v>27551</v>
      </c>
      <c r="F96" s="77">
        <f>Fundamentare!E169</f>
        <v>27551</v>
      </c>
      <c r="G96" s="77">
        <f>Fundamentare!F169</f>
        <v>18247</v>
      </c>
      <c r="H96" s="77">
        <f>Fundamentare!G169</f>
        <v>0</v>
      </c>
      <c r="I96" s="77">
        <f>Fundamentare!H169</f>
        <v>0</v>
      </c>
      <c r="J96" s="77">
        <f>Fundamentare!I169</f>
        <v>0</v>
      </c>
      <c r="K96" s="77">
        <f>Fundamentare!J169</f>
        <v>18247</v>
      </c>
      <c r="L96" s="56">
        <f t="shared" si="15"/>
        <v>0</v>
      </c>
    </row>
    <row r="97" spans="1:12" ht="18">
      <c r="A97" s="193" t="s">
        <v>357</v>
      </c>
      <c r="B97" s="195">
        <v>38403</v>
      </c>
      <c r="C97" s="77">
        <f>Fundamentare!B170</f>
        <v>1823.859</v>
      </c>
      <c r="D97" s="77">
        <f>Fundamentare!C170</f>
        <v>6563</v>
      </c>
      <c r="E97" s="77">
        <f>Fundamentare!D170</f>
        <v>6563</v>
      </c>
      <c r="F97" s="77">
        <f>Fundamentare!E170</f>
        <v>6563</v>
      </c>
      <c r="G97" s="77">
        <f>Fundamentare!F170</f>
        <v>6858</v>
      </c>
      <c r="H97" s="77">
        <f>Fundamentare!G170</f>
        <v>0</v>
      </c>
      <c r="I97" s="77">
        <f>Fundamentare!H170</f>
        <v>0</v>
      </c>
      <c r="J97" s="77">
        <f>Fundamentare!I170</f>
        <v>0</v>
      </c>
      <c r="K97" s="77">
        <f>Fundamentare!J170</f>
        <v>6858</v>
      </c>
      <c r="L97" s="56">
        <f t="shared" si="15"/>
        <v>0</v>
      </c>
    </row>
    <row r="98" spans="1:12" ht="18">
      <c r="A98" s="193" t="s">
        <v>358</v>
      </c>
      <c r="B98" s="195">
        <v>38431</v>
      </c>
      <c r="C98" s="56">
        <f aca="true" t="shared" si="31" ref="C98:K98">C99</f>
        <v>260.322</v>
      </c>
      <c r="D98" s="56">
        <f t="shared" si="31"/>
        <v>215</v>
      </c>
      <c r="E98" s="56">
        <f t="shared" si="31"/>
        <v>215</v>
      </c>
      <c r="F98" s="56">
        <f t="shared" si="31"/>
        <v>215</v>
      </c>
      <c r="G98" s="56">
        <f t="shared" si="31"/>
        <v>225</v>
      </c>
      <c r="H98" s="56">
        <f t="shared" si="31"/>
        <v>0</v>
      </c>
      <c r="I98" s="56">
        <f t="shared" si="31"/>
        <v>0</v>
      </c>
      <c r="J98" s="56">
        <f t="shared" si="31"/>
        <v>0</v>
      </c>
      <c r="K98" s="56">
        <f t="shared" si="31"/>
        <v>225</v>
      </c>
      <c r="L98" s="56">
        <f aca="true" t="shared" si="32" ref="L98:L161">K98-G98</f>
        <v>0</v>
      </c>
    </row>
    <row r="99" spans="1:12" ht="18">
      <c r="A99" s="193" t="s">
        <v>359</v>
      </c>
      <c r="B99" s="148" t="s">
        <v>639</v>
      </c>
      <c r="C99" s="77">
        <f>Fundamentare!B174</f>
        <v>260.322</v>
      </c>
      <c r="D99" s="77">
        <f>Fundamentare!C174</f>
        <v>215</v>
      </c>
      <c r="E99" s="77">
        <f>Fundamentare!D174</f>
        <v>215</v>
      </c>
      <c r="F99" s="77">
        <f>Fundamentare!E174</f>
        <v>215</v>
      </c>
      <c r="G99" s="77">
        <f>Fundamentare!F174</f>
        <v>225</v>
      </c>
      <c r="H99" s="77">
        <f>Fundamentare!G174</f>
        <v>0</v>
      </c>
      <c r="I99" s="77">
        <f>Fundamentare!H174</f>
        <v>0</v>
      </c>
      <c r="J99" s="77">
        <f>Fundamentare!I174</f>
        <v>0</v>
      </c>
      <c r="K99" s="77">
        <f>Fundamentare!J174</f>
        <v>225</v>
      </c>
      <c r="L99" s="56">
        <f t="shared" si="32"/>
        <v>0</v>
      </c>
    </row>
    <row r="100" spans="1:12" ht="18">
      <c r="A100" s="193" t="s">
        <v>360</v>
      </c>
      <c r="B100" s="195">
        <v>38462</v>
      </c>
      <c r="C100" s="56">
        <f aca="true" t="shared" si="33" ref="C100:K100">C101+C102</f>
        <v>358.723</v>
      </c>
      <c r="D100" s="56">
        <f t="shared" si="33"/>
        <v>519</v>
      </c>
      <c r="E100" s="56">
        <f t="shared" si="33"/>
        <v>519</v>
      </c>
      <c r="F100" s="56">
        <f t="shared" si="33"/>
        <v>519</v>
      </c>
      <c r="G100" s="56">
        <f t="shared" si="33"/>
        <v>542</v>
      </c>
      <c r="H100" s="56">
        <f t="shared" si="33"/>
        <v>0</v>
      </c>
      <c r="I100" s="56">
        <f t="shared" si="33"/>
        <v>0</v>
      </c>
      <c r="J100" s="56">
        <f t="shared" si="33"/>
        <v>0</v>
      </c>
      <c r="K100" s="56">
        <f t="shared" si="33"/>
        <v>542</v>
      </c>
      <c r="L100" s="56">
        <f t="shared" si="32"/>
        <v>0</v>
      </c>
    </row>
    <row r="101" spans="1:12" ht="18">
      <c r="A101" s="193" t="s">
        <v>361</v>
      </c>
      <c r="B101" s="148" t="s">
        <v>640</v>
      </c>
      <c r="C101" s="56">
        <f>Fundamentare!B176</f>
        <v>148.568</v>
      </c>
      <c r="D101" s="56">
        <f>Fundamentare!C176</f>
        <v>307</v>
      </c>
      <c r="E101" s="56">
        <f>Fundamentare!D176</f>
        <v>307</v>
      </c>
      <c r="F101" s="56">
        <f>Fundamentare!E176</f>
        <v>307</v>
      </c>
      <c r="G101" s="56">
        <f>Fundamentare!F176</f>
        <v>321</v>
      </c>
      <c r="H101" s="56">
        <f>Fundamentare!G176</f>
        <v>0</v>
      </c>
      <c r="I101" s="56">
        <f>Fundamentare!H176</f>
        <v>0</v>
      </c>
      <c r="J101" s="56">
        <f>Fundamentare!I176</f>
        <v>0</v>
      </c>
      <c r="K101" s="56">
        <f>Fundamentare!J176</f>
        <v>321</v>
      </c>
      <c r="L101" s="56">
        <f t="shared" si="32"/>
        <v>0</v>
      </c>
    </row>
    <row r="102" spans="1:12" ht="18">
      <c r="A102" s="193" t="s">
        <v>362</v>
      </c>
      <c r="B102" s="148" t="s">
        <v>641</v>
      </c>
      <c r="C102" s="56">
        <f>Fundamentare!B177</f>
        <v>210.155</v>
      </c>
      <c r="D102" s="56">
        <f>Fundamentare!C177</f>
        <v>212</v>
      </c>
      <c r="E102" s="56">
        <f>Fundamentare!D177</f>
        <v>212</v>
      </c>
      <c r="F102" s="56">
        <f>Fundamentare!E177</f>
        <v>212</v>
      </c>
      <c r="G102" s="56">
        <f>Fundamentare!F177</f>
        <v>221</v>
      </c>
      <c r="H102" s="56">
        <f>Fundamentare!G177</f>
        <v>0</v>
      </c>
      <c r="I102" s="56">
        <f>Fundamentare!H177</f>
        <v>0</v>
      </c>
      <c r="J102" s="56">
        <f>Fundamentare!I177</f>
        <v>0</v>
      </c>
      <c r="K102" s="56">
        <f>Fundamentare!J177</f>
        <v>221</v>
      </c>
      <c r="L102" s="56">
        <f t="shared" si="32"/>
        <v>0</v>
      </c>
    </row>
    <row r="103" spans="1:12" ht="18">
      <c r="A103" s="193" t="s">
        <v>236</v>
      </c>
      <c r="B103" s="191">
        <v>38492</v>
      </c>
      <c r="C103" s="56">
        <f aca="true" t="shared" si="34" ref="C103:K103">C104+C105</f>
        <v>1012.236</v>
      </c>
      <c r="D103" s="56">
        <f t="shared" si="34"/>
        <v>991</v>
      </c>
      <c r="E103" s="56">
        <f t="shared" si="34"/>
        <v>991</v>
      </c>
      <c r="F103" s="56">
        <f t="shared" si="34"/>
        <v>991</v>
      </c>
      <c r="G103" s="56">
        <f t="shared" si="34"/>
        <v>1338</v>
      </c>
      <c r="H103" s="56">
        <f t="shared" si="34"/>
        <v>0</v>
      </c>
      <c r="I103" s="56">
        <f t="shared" si="34"/>
        <v>0</v>
      </c>
      <c r="J103" s="56">
        <f t="shared" si="34"/>
        <v>0</v>
      </c>
      <c r="K103" s="56">
        <f t="shared" si="34"/>
        <v>1338</v>
      </c>
      <c r="L103" s="56">
        <f t="shared" si="32"/>
        <v>0</v>
      </c>
    </row>
    <row r="104" spans="1:12" ht="18">
      <c r="A104" s="193" t="s">
        <v>363</v>
      </c>
      <c r="B104" s="191" t="s">
        <v>642</v>
      </c>
      <c r="C104" s="56">
        <v>0</v>
      </c>
      <c r="D104" s="56">
        <v>0</v>
      </c>
      <c r="E104" s="56">
        <v>0</v>
      </c>
      <c r="F104" s="56">
        <v>0</v>
      </c>
      <c r="G104" s="56">
        <f>Fundamentare!F179</f>
        <v>100</v>
      </c>
      <c r="H104" s="56">
        <f>Fundamentare!G179</f>
        <v>0</v>
      </c>
      <c r="I104" s="56">
        <f>Fundamentare!H179</f>
        <v>0</v>
      </c>
      <c r="J104" s="56">
        <f>Fundamentare!I179</f>
        <v>0</v>
      </c>
      <c r="K104" s="56">
        <f>Fundamentare!J179</f>
        <v>100</v>
      </c>
      <c r="L104" s="56">
        <f t="shared" si="32"/>
        <v>0</v>
      </c>
    </row>
    <row r="105" spans="1:12" ht="18">
      <c r="A105" s="193" t="s">
        <v>364</v>
      </c>
      <c r="B105" s="191" t="s">
        <v>643</v>
      </c>
      <c r="C105" s="56">
        <f>Fundamentare!B180</f>
        <v>1012.236</v>
      </c>
      <c r="D105" s="56">
        <f>Fundamentare!C180</f>
        <v>991</v>
      </c>
      <c r="E105" s="56">
        <f>Fundamentare!D180</f>
        <v>991</v>
      </c>
      <c r="F105" s="56">
        <f>Fundamentare!E180</f>
        <v>991</v>
      </c>
      <c r="G105" s="56">
        <f>Fundamentare!F180</f>
        <v>1238</v>
      </c>
      <c r="H105" s="56">
        <f>Fundamentare!G180</f>
        <v>0</v>
      </c>
      <c r="I105" s="56">
        <f>Fundamentare!H180</f>
        <v>0</v>
      </c>
      <c r="J105" s="56">
        <f>Fundamentare!I180</f>
        <v>0</v>
      </c>
      <c r="K105" s="56">
        <f>Fundamentare!J180</f>
        <v>1238</v>
      </c>
      <c r="L105" s="56">
        <f t="shared" si="32"/>
        <v>0</v>
      </c>
    </row>
    <row r="106" spans="1:12" ht="18">
      <c r="A106" s="193" t="s">
        <v>365</v>
      </c>
      <c r="B106" s="191">
        <v>38523</v>
      </c>
      <c r="C106" s="56">
        <f aca="true" t="shared" si="35" ref="C106:K106">C107+C108</f>
        <v>0</v>
      </c>
      <c r="D106" s="56">
        <f t="shared" si="35"/>
        <v>613</v>
      </c>
      <c r="E106" s="56">
        <f t="shared" si="35"/>
        <v>1300</v>
      </c>
      <c r="F106" s="56">
        <f t="shared" si="35"/>
        <v>1300</v>
      </c>
      <c r="G106" s="56">
        <f t="shared" si="35"/>
        <v>5505</v>
      </c>
      <c r="H106" s="56">
        <f t="shared" si="35"/>
        <v>0</v>
      </c>
      <c r="I106" s="56">
        <f t="shared" si="35"/>
        <v>0</v>
      </c>
      <c r="J106" s="56">
        <f t="shared" si="35"/>
        <v>0</v>
      </c>
      <c r="K106" s="56">
        <f t="shared" si="35"/>
        <v>5505</v>
      </c>
      <c r="L106" s="56">
        <f t="shared" si="32"/>
        <v>0</v>
      </c>
    </row>
    <row r="107" spans="1:12" ht="30.75">
      <c r="A107" s="21" t="s">
        <v>366</v>
      </c>
      <c r="B107" s="191" t="s">
        <v>644</v>
      </c>
      <c r="C107" s="56">
        <f>Fundamentare!B184</f>
        <v>0</v>
      </c>
      <c r="D107" s="56">
        <f>Fundamentare!C184</f>
        <v>369</v>
      </c>
      <c r="E107" s="56">
        <f>Fundamentare!D184</f>
        <v>1056</v>
      </c>
      <c r="F107" s="56">
        <f>Fundamentare!E184</f>
        <v>1056</v>
      </c>
      <c r="G107" s="56">
        <f>Fundamentare!F184</f>
        <v>5250</v>
      </c>
      <c r="H107" s="56">
        <f>Fundamentare!G184</f>
        <v>0</v>
      </c>
      <c r="I107" s="56">
        <f>Fundamentare!H184</f>
        <v>0</v>
      </c>
      <c r="J107" s="56">
        <f>Fundamentare!I184</f>
        <v>0</v>
      </c>
      <c r="K107" s="56">
        <f>Fundamentare!J184</f>
        <v>5250</v>
      </c>
      <c r="L107" s="56">
        <f t="shared" si="32"/>
        <v>0</v>
      </c>
    </row>
    <row r="108" spans="1:12" ht="18">
      <c r="A108" s="193" t="s">
        <v>367</v>
      </c>
      <c r="B108" s="191" t="s">
        <v>645</v>
      </c>
      <c r="C108" s="56">
        <f>Fundamentare!B185</f>
        <v>0</v>
      </c>
      <c r="D108" s="56">
        <f>Fundamentare!C185</f>
        <v>244</v>
      </c>
      <c r="E108" s="56">
        <f>Fundamentare!D185</f>
        <v>244</v>
      </c>
      <c r="F108" s="56">
        <f>Fundamentare!E185</f>
        <v>244</v>
      </c>
      <c r="G108" s="56">
        <f>Fundamentare!F185</f>
        <v>255</v>
      </c>
      <c r="H108" s="56">
        <f>Fundamentare!G185</f>
        <v>0</v>
      </c>
      <c r="I108" s="56">
        <f>Fundamentare!H185</f>
        <v>0</v>
      </c>
      <c r="J108" s="56">
        <f>Fundamentare!I185</f>
        <v>0</v>
      </c>
      <c r="K108" s="56">
        <f>Fundamentare!J185</f>
        <v>255</v>
      </c>
      <c r="L108" s="56">
        <f t="shared" si="32"/>
        <v>0</v>
      </c>
    </row>
    <row r="109" spans="1:12" ht="30.75">
      <c r="A109" s="21" t="s">
        <v>150</v>
      </c>
      <c r="B109" s="191">
        <v>38676</v>
      </c>
      <c r="C109" s="56">
        <f>Fundamentare!B186</f>
        <v>0</v>
      </c>
      <c r="D109" s="56">
        <f>Fundamentare!C186</f>
        <v>113</v>
      </c>
      <c r="E109" s="56">
        <f>Fundamentare!D186</f>
        <v>113</v>
      </c>
      <c r="F109" s="56">
        <f>Fundamentare!E186</f>
        <v>113</v>
      </c>
      <c r="G109" s="56">
        <f>Fundamentare!F186</f>
        <v>118</v>
      </c>
      <c r="H109" s="56">
        <f>Fundamentare!G186</f>
        <v>0</v>
      </c>
      <c r="I109" s="56">
        <f>Fundamentare!H186</f>
        <v>0</v>
      </c>
      <c r="J109" s="56">
        <f>Fundamentare!I186</f>
        <v>0</v>
      </c>
      <c r="K109" s="56">
        <f>Fundamentare!J186</f>
        <v>118</v>
      </c>
      <c r="L109" s="56">
        <f t="shared" si="32"/>
        <v>0</v>
      </c>
    </row>
    <row r="110" spans="1:12" ht="18">
      <c r="A110" s="193" t="s">
        <v>151</v>
      </c>
      <c r="B110" s="191">
        <v>39071</v>
      </c>
      <c r="C110" s="56">
        <f>Fundamentare!B187</f>
        <v>95.798</v>
      </c>
      <c r="D110" s="56">
        <f>Fundamentare!C187</f>
        <v>0</v>
      </c>
      <c r="E110" s="56">
        <f>Fundamentare!D187</f>
        <v>28</v>
      </c>
      <c r="F110" s="56">
        <f>Fundamentare!E187</f>
        <v>28</v>
      </c>
      <c r="G110" s="56">
        <f>Fundamentare!F187</f>
        <v>40</v>
      </c>
      <c r="H110" s="56">
        <f>Fundamentare!G187</f>
        <v>0</v>
      </c>
      <c r="I110" s="56">
        <f>Fundamentare!H187</f>
        <v>0</v>
      </c>
      <c r="J110" s="56">
        <f>Fundamentare!I187</f>
        <v>0</v>
      </c>
      <c r="K110" s="56">
        <f>Fundamentare!J187</f>
        <v>40</v>
      </c>
      <c r="L110" s="56">
        <f t="shared" si="32"/>
        <v>0</v>
      </c>
    </row>
    <row r="111" spans="1:12" ht="18">
      <c r="A111" s="193" t="s">
        <v>241</v>
      </c>
      <c r="B111" s="191" t="s">
        <v>646</v>
      </c>
      <c r="C111" s="56">
        <f>Fundamentare!B188</f>
        <v>103.271</v>
      </c>
      <c r="D111" s="56">
        <f>Fundamentare!C188</f>
        <v>127</v>
      </c>
      <c r="E111" s="56">
        <f>Fundamentare!D188</f>
        <v>307</v>
      </c>
      <c r="F111" s="56">
        <f>Fundamentare!E188</f>
        <v>307</v>
      </c>
      <c r="G111" s="56">
        <f>Fundamentare!F188</f>
        <v>1630</v>
      </c>
      <c r="H111" s="56">
        <f>Fundamentare!G188</f>
        <v>0</v>
      </c>
      <c r="I111" s="56">
        <f>Fundamentare!H188</f>
        <v>0</v>
      </c>
      <c r="J111" s="56">
        <f>Fundamentare!I188</f>
        <v>0</v>
      </c>
      <c r="K111" s="56">
        <f>Fundamentare!J188</f>
        <v>1630</v>
      </c>
      <c r="L111" s="56">
        <f t="shared" si="32"/>
        <v>0</v>
      </c>
    </row>
    <row r="112" spans="1:12" ht="18">
      <c r="A112" s="193" t="s">
        <v>368</v>
      </c>
      <c r="B112" s="191" t="s">
        <v>647</v>
      </c>
      <c r="C112" s="56">
        <f>Fundamentare!B189</f>
        <v>1.257</v>
      </c>
      <c r="D112" s="56">
        <f>Fundamentare!C189</f>
        <v>11</v>
      </c>
      <c r="E112" s="56">
        <f>Fundamentare!D189</f>
        <v>11</v>
      </c>
      <c r="F112" s="56">
        <f>Fundamentare!E189</f>
        <v>11</v>
      </c>
      <c r="G112" s="56">
        <f>Fundamentare!F189</f>
        <v>12</v>
      </c>
      <c r="H112" s="56">
        <f>Fundamentare!G189</f>
        <v>0</v>
      </c>
      <c r="I112" s="56">
        <f>Fundamentare!H189</f>
        <v>0</v>
      </c>
      <c r="J112" s="56">
        <f>Fundamentare!I189</f>
        <v>0</v>
      </c>
      <c r="K112" s="56">
        <f>Fundamentare!J189</f>
        <v>12</v>
      </c>
      <c r="L112" s="56">
        <f t="shared" si="32"/>
        <v>0</v>
      </c>
    </row>
    <row r="113" spans="1:12" ht="30.75">
      <c r="A113" s="21" t="s">
        <v>369</v>
      </c>
      <c r="B113" s="191" t="s">
        <v>648</v>
      </c>
      <c r="C113" s="56">
        <f aca="true" t="shared" si="36" ref="C113:K113">C114</f>
        <v>0</v>
      </c>
      <c r="D113" s="56">
        <f t="shared" si="36"/>
        <v>0</v>
      </c>
      <c r="E113" s="56">
        <f t="shared" si="36"/>
        <v>114</v>
      </c>
      <c r="F113" s="56">
        <f t="shared" si="36"/>
        <v>114</v>
      </c>
      <c r="G113" s="56">
        <f t="shared" si="36"/>
        <v>80</v>
      </c>
      <c r="H113" s="56">
        <f t="shared" si="36"/>
        <v>0</v>
      </c>
      <c r="I113" s="56">
        <f t="shared" si="36"/>
        <v>0</v>
      </c>
      <c r="J113" s="56">
        <f t="shared" si="36"/>
        <v>0</v>
      </c>
      <c r="K113" s="56">
        <f t="shared" si="36"/>
        <v>80</v>
      </c>
      <c r="L113" s="56">
        <f t="shared" si="32"/>
        <v>0</v>
      </c>
    </row>
    <row r="114" spans="1:12" ht="45.75">
      <c r="A114" s="21" t="s">
        <v>370</v>
      </c>
      <c r="B114" s="191" t="s">
        <v>649</v>
      </c>
      <c r="C114" s="56">
        <f>Fundamentare!B190</f>
        <v>0</v>
      </c>
      <c r="D114" s="56">
        <f>Fundamentare!C190</f>
        <v>0</v>
      </c>
      <c r="E114" s="56">
        <f>Fundamentare!D190</f>
        <v>114</v>
      </c>
      <c r="F114" s="56">
        <f>Fundamentare!E190</f>
        <v>114</v>
      </c>
      <c r="G114" s="56">
        <f>Fundamentare!F190</f>
        <v>80</v>
      </c>
      <c r="H114" s="56">
        <f>Fundamentare!G190</f>
        <v>0</v>
      </c>
      <c r="I114" s="56">
        <f>Fundamentare!H190</f>
        <v>0</v>
      </c>
      <c r="J114" s="56">
        <f>Fundamentare!I190</f>
        <v>0</v>
      </c>
      <c r="K114" s="56">
        <f>Fundamentare!J190</f>
        <v>80</v>
      </c>
      <c r="L114" s="56">
        <f t="shared" si="32"/>
        <v>0</v>
      </c>
    </row>
    <row r="115" spans="1:12" ht="18">
      <c r="A115" s="141" t="s">
        <v>371</v>
      </c>
      <c r="B115" s="191" t="s">
        <v>650</v>
      </c>
      <c r="C115" s="56">
        <f>Fundamentare!B192</f>
        <v>191041.818</v>
      </c>
      <c r="D115" s="56">
        <f>Fundamentare!C192</f>
        <v>234629</v>
      </c>
      <c r="E115" s="56">
        <f>Fundamentare!D192</f>
        <v>262024</v>
      </c>
      <c r="F115" s="56">
        <f>Fundamentare!E192</f>
        <v>262024</v>
      </c>
      <c r="G115" s="56">
        <f>Fundamentare!F192</f>
        <v>321963</v>
      </c>
      <c r="H115" s="56">
        <f>Fundamentare!G192</f>
        <v>0</v>
      </c>
      <c r="I115" s="56">
        <f>Fundamentare!H192</f>
        <v>0</v>
      </c>
      <c r="J115" s="56">
        <f>Fundamentare!I192</f>
        <v>0</v>
      </c>
      <c r="K115" s="56">
        <f>Fundamentare!J192</f>
        <v>321963</v>
      </c>
      <c r="L115" s="56">
        <f t="shared" si="32"/>
        <v>0</v>
      </c>
    </row>
    <row r="116" spans="1:12" ht="18">
      <c r="A116" s="193" t="s">
        <v>372</v>
      </c>
      <c r="B116" s="148" t="s">
        <v>651</v>
      </c>
      <c r="C116" s="56">
        <f>Fundamentare!B193</f>
        <v>8.416</v>
      </c>
      <c r="D116" s="56">
        <f>Fundamentare!C193</f>
        <v>11</v>
      </c>
      <c r="E116" s="56">
        <f>Fundamentare!D193</f>
        <v>11</v>
      </c>
      <c r="F116" s="56">
        <f>Fundamentare!E193</f>
        <v>11</v>
      </c>
      <c r="G116" s="56">
        <f>Fundamentare!F193</f>
        <v>12</v>
      </c>
      <c r="H116" s="56">
        <f>Fundamentare!G193</f>
        <v>0</v>
      </c>
      <c r="I116" s="56">
        <f>Fundamentare!H193</f>
        <v>0</v>
      </c>
      <c r="J116" s="56">
        <f>Fundamentare!I193</f>
        <v>0</v>
      </c>
      <c r="K116" s="56">
        <f>Fundamentare!J193</f>
        <v>12</v>
      </c>
      <c r="L116" s="56">
        <f t="shared" si="32"/>
        <v>0</v>
      </c>
    </row>
    <row r="117" spans="1:12" ht="18">
      <c r="A117" s="193" t="s">
        <v>373</v>
      </c>
      <c r="B117" s="148" t="s">
        <v>652</v>
      </c>
      <c r="C117" s="56">
        <f>Fundamentare!B194</f>
        <v>0</v>
      </c>
      <c r="D117" s="56">
        <f>Fundamentare!C194</f>
        <v>300</v>
      </c>
      <c r="E117" s="56">
        <f>Fundamentare!D194</f>
        <v>3075</v>
      </c>
      <c r="F117" s="56">
        <f>Fundamentare!E194</f>
        <v>3075</v>
      </c>
      <c r="G117" s="56">
        <f>Fundamentare!F194</f>
        <v>5000</v>
      </c>
      <c r="H117" s="56">
        <f>Fundamentare!G194</f>
        <v>0</v>
      </c>
      <c r="I117" s="56">
        <f>Fundamentare!H194</f>
        <v>0</v>
      </c>
      <c r="J117" s="56">
        <f>Fundamentare!I194</f>
        <v>0</v>
      </c>
      <c r="K117" s="56">
        <f>Fundamentare!J194</f>
        <v>5000</v>
      </c>
      <c r="L117" s="56">
        <f t="shared" si="32"/>
        <v>0</v>
      </c>
    </row>
    <row r="118" spans="1:12" ht="30.75">
      <c r="A118" s="21" t="s">
        <v>374</v>
      </c>
      <c r="B118" s="148" t="s">
        <v>653</v>
      </c>
      <c r="C118" s="56">
        <f>Fundamentare!B195</f>
        <v>188921.64</v>
      </c>
      <c r="D118" s="56">
        <f>Fundamentare!C195</f>
        <v>230324</v>
      </c>
      <c r="E118" s="56">
        <f>Fundamentare!D195</f>
        <v>230324</v>
      </c>
      <c r="F118" s="56">
        <f>Fundamentare!E195</f>
        <v>230324</v>
      </c>
      <c r="G118" s="56">
        <f>Fundamentare!F195</f>
        <v>276420</v>
      </c>
      <c r="H118" s="56">
        <f>Fundamentare!G195</f>
        <v>353426</v>
      </c>
      <c r="I118" s="56">
        <f>Fundamentare!H195</f>
        <v>364493</v>
      </c>
      <c r="J118" s="56">
        <f>Fundamentare!I195</f>
        <v>399963</v>
      </c>
      <c r="K118" s="56">
        <f>Fundamentare!J195</f>
        <v>276420</v>
      </c>
      <c r="L118" s="56">
        <f t="shared" si="32"/>
        <v>0</v>
      </c>
    </row>
    <row r="119" spans="1:12" ht="30.75">
      <c r="A119" s="21" t="s">
        <v>375</v>
      </c>
      <c r="B119" s="148" t="s">
        <v>654</v>
      </c>
      <c r="C119" s="56">
        <f>Fundamentare!B198</f>
        <v>0</v>
      </c>
      <c r="D119" s="56">
        <f>Fundamentare!C198</f>
        <v>0</v>
      </c>
      <c r="E119" s="56">
        <f>Fundamentare!D198</f>
        <v>0</v>
      </c>
      <c r="F119" s="56">
        <f>Fundamentare!E198</f>
        <v>0</v>
      </c>
      <c r="G119" s="56">
        <f>Fundamentare!F198</f>
        <v>0</v>
      </c>
      <c r="H119" s="56">
        <f>Fundamentare!G198</f>
        <v>0</v>
      </c>
      <c r="I119" s="56">
        <f>Fundamentare!H198</f>
        <v>0</v>
      </c>
      <c r="J119" s="56">
        <f>Fundamentare!I198</f>
        <v>0</v>
      </c>
      <c r="K119" s="56">
        <f>Fundamentare!J198</f>
        <v>0</v>
      </c>
      <c r="L119" s="56">
        <f t="shared" si="32"/>
        <v>0</v>
      </c>
    </row>
    <row r="120" spans="1:12" ht="30.75">
      <c r="A120" s="21" t="s">
        <v>376</v>
      </c>
      <c r="B120" s="148" t="s">
        <v>655</v>
      </c>
      <c r="C120" s="56">
        <f>Fundamentare!B199</f>
        <v>2111.762</v>
      </c>
      <c r="D120" s="56">
        <f>Fundamentare!C199</f>
        <v>3994</v>
      </c>
      <c r="E120" s="56">
        <f>Fundamentare!D199</f>
        <v>28614</v>
      </c>
      <c r="F120" s="56">
        <f>Fundamentare!E199</f>
        <v>28614</v>
      </c>
      <c r="G120" s="56">
        <f>Fundamentare!F199</f>
        <v>40531</v>
      </c>
      <c r="H120" s="56">
        <f>Fundamentare!G199</f>
        <v>0</v>
      </c>
      <c r="I120" s="56">
        <f>Fundamentare!H199</f>
        <v>0</v>
      </c>
      <c r="J120" s="56">
        <f>Fundamentare!I199</f>
        <v>0</v>
      </c>
      <c r="K120" s="56">
        <f>Fundamentare!J199</f>
        <v>40531</v>
      </c>
      <c r="L120" s="56">
        <f t="shared" si="32"/>
        <v>0</v>
      </c>
    </row>
    <row r="121" spans="1:12" ht="18">
      <c r="A121" s="196"/>
      <c r="B121" s="148"/>
      <c r="C121" s="56"/>
      <c r="D121" s="56"/>
      <c r="E121" s="56"/>
      <c r="F121" s="56"/>
      <c r="G121" s="56"/>
      <c r="H121" s="56"/>
      <c r="I121" s="56"/>
      <c r="J121" s="56"/>
      <c r="K121" s="56"/>
      <c r="L121" s="56">
        <f t="shared" si="32"/>
        <v>0</v>
      </c>
    </row>
    <row r="122" spans="1:12" ht="18">
      <c r="A122" s="197" t="s">
        <v>309</v>
      </c>
      <c r="B122" s="148">
        <v>30</v>
      </c>
      <c r="C122" s="56">
        <f aca="true" t="shared" si="37" ref="C122:K122">C123+C125</f>
        <v>47611.007</v>
      </c>
      <c r="D122" s="56">
        <f t="shared" si="37"/>
        <v>42376</v>
      </c>
      <c r="E122" s="56">
        <f t="shared" si="37"/>
        <v>42519</v>
      </c>
      <c r="F122" s="56">
        <f t="shared" si="37"/>
        <v>32771</v>
      </c>
      <c r="G122" s="56">
        <f t="shared" si="37"/>
        <v>43797</v>
      </c>
      <c r="H122" s="56">
        <f t="shared" si="37"/>
        <v>43884</v>
      </c>
      <c r="I122" s="56">
        <f t="shared" si="37"/>
        <v>43709</v>
      </c>
      <c r="J122" s="56">
        <f t="shared" si="37"/>
        <v>43631</v>
      </c>
      <c r="K122" s="56">
        <f t="shared" si="37"/>
        <v>43797</v>
      </c>
      <c r="L122" s="56">
        <f t="shared" si="32"/>
        <v>0</v>
      </c>
    </row>
    <row r="123" spans="1:12" ht="30.75">
      <c r="A123" s="198" t="s">
        <v>377</v>
      </c>
      <c r="B123" s="148" t="s">
        <v>656</v>
      </c>
      <c r="C123" s="56">
        <f aca="true" t="shared" si="38" ref="C123:K123">C124</f>
        <v>1430.807</v>
      </c>
      <c r="D123" s="56">
        <f t="shared" si="38"/>
        <v>2187</v>
      </c>
      <c r="E123" s="56">
        <f t="shared" si="38"/>
        <v>2330</v>
      </c>
      <c r="F123" s="56">
        <f t="shared" si="38"/>
        <v>2330</v>
      </c>
      <c r="G123" s="56">
        <f t="shared" si="38"/>
        <v>2283</v>
      </c>
      <c r="H123" s="56">
        <f t="shared" si="38"/>
        <v>2370</v>
      </c>
      <c r="I123" s="56">
        <f t="shared" si="38"/>
        <v>2195</v>
      </c>
      <c r="J123" s="56">
        <f t="shared" si="38"/>
        <v>2117</v>
      </c>
      <c r="K123" s="56">
        <f t="shared" si="38"/>
        <v>2283</v>
      </c>
      <c r="L123" s="56">
        <f t="shared" si="32"/>
        <v>0</v>
      </c>
    </row>
    <row r="124" spans="1:12" ht="45.75">
      <c r="A124" s="198" t="s">
        <v>378</v>
      </c>
      <c r="B124" s="148" t="s">
        <v>657</v>
      </c>
      <c r="C124" s="56">
        <f>Fundamentare!B216</f>
        <v>1430.807</v>
      </c>
      <c r="D124" s="56">
        <f>Fundamentare!C216</f>
        <v>2187</v>
      </c>
      <c r="E124" s="56">
        <f>Fundamentare!D216</f>
        <v>2330</v>
      </c>
      <c r="F124" s="56">
        <f>Fundamentare!E216</f>
        <v>2330</v>
      </c>
      <c r="G124" s="56">
        <f>Fundamentare!F216</f>
        <v>2283</v>
      </c>
      <c r="H124" s="56">
        <f>Fundamentare!G216</f>
        <v>2370</v>
      </c>
      <c r="I124" s="56">
        <f>Fundamentare!H216</f>
        <v>2195</v>
      </c>
      <c r="J124" s="56">
        <f>Fundamentare!I216</f>
        <v>2117</v>
      </c>
      <c r="K124" s="56">
        <f>Fundamentare!J216</f>
        <v>2283</v>
      </c>
      <c r="L124" s="56">
        <f t="shared" si="32"/>
        <v>0</v>
      </c>
    </row>
    <row r="125" spans="1:12" ht="18">
      <c r="A125" s="180" t="s">
        <v>379</v>
      </c>
      <c r="B125" s="195">
        <v>38441</v>
      </c>
      <c r="C125" s="56">
        <f aca="true" t="shared" si="39" ref="C125:K125">C126</f>
        <v>46180.2</v>
      </c>
      <c r="D125" s="56">
        <f t="shared" si="39"/>
        <v>40189</v>
      </c>
      <c r="E125" s="56">
        <f t="shared" si="39"/>
        <v>40189</v>
      </c>
      <c r="F125" s="56">
        <f t="shared" si="39"/>
        <v>30441</v>
      </c>
      <c r="G125" s="56">
        <f t="shared" si="39"/>
        <v>41514</v>
      </c>
      <c r="H125" s="56">
        <f t="shared" si="39"/>
        <v>41514</v>
      </c>
      <c r="I125" s="56">
        <f t="shared" si="39"/>
        <v>41514</v>
      </c>
      <c r="J125" s="56">
        <f t="shared" si="39"/>
        <v>41514</v>
      </c>
      <c r="K125" s="56">
        <f t="shared" si="39"/>
        <v>41514</v>
      </c>
      <c r="L125" s="56">
        <f t="shared" si="32"/>
        <v>0</v>
      </c>
    </row>
    <row r="126" spans="1:12" ht="30.75">
      <c r="A126" s="186" t="s">
        <v>380</v>
      </c>
      <c r="B126" s="154" t="s">
        <v>658</v>
      </c>
      <c r="C126" s="56">
        <f>Fundamentare!B218</f>
        <v>46180.2</v>
      </c>
      <c r="D126" s="56">
        <f>Fundamentare!C218</f>
        <v>40189</v>
      </c>
      <c r="E126" s="56">
        <f>Fundamentare!D218</f>
        <v>40189</v>
      </c>
      <c r="F126" s="56">
        <f>Fundamentare!E218</f>
        <v>30441</v>
      </c>
      <c r="G126" s="56">
        <f>Fundamentare!F218</f>
        <v>41514</v>
      </c>
      <c r="H126" s="56">
        <f>Fundamentare!G218</f>
        <v>41514</v>
      </c>
      <c r="I126" s="56">
        <f>Fundamentare!H218</f>
        <v>41514</v>
      </c>
      <c r="J126" s="56">
        <f>Fundamentare!I218</f>
        <v>41514</v>
      </c>
      <c r="K126" s="56">
        <f>Fundamentare!J218</f>
        <v>41514</v>
      </c>
      <c r="L126" s="56">
        <f t="shared" si="32"/>
        <v>0</v>
      </c>
    </row>
    <row r="127" spans="1:12" ht="18">
      <c r="A127" s="193"/>
      <c r="B127" s="199"/>
      <c r="C127" s="56"/>
      <c r="D127" s="56"/>
      <c r="E127" s="56"/>
      <c r="F127" s="56"/>
      <c r="G127" s="56"/>
      <c r="H127" s="56"/>
      <c r="I127" s="56"/>
      <c r="J127" s="56"/>
      <c r="K127" s="56"/>
      <c r="L127" s="56">
        <f t="shared" si="32"/>
        <v>0</v>
      </c>
    </row>
    <row r="128" spans="1:12" ht="31.5">
      <c r="A128" s="181" t="s">
        <v>381</v>
      </c>
      <c r="B128" s="184">
        <v>51</v>
      </c>
      <c r="C128" s="56">
        <f aca="true" t="shared" si="40" ref="C128:K129">C129</f>
        <v>125833.477</v>
      </c>
      <c r="D128" s="56">
        <f t="shared" si="40"/>
        <v>62945.28</v>
      </c>
      <c r="E128" s="56">
        <f t="shared" si="40"/>
        <v>6031</v>
      </c>
      <c r="F128" s="56">
        <f t="shared" si="40"/>
        <v>6031</v>
      </c>
      <c r="G128" s="56">
        <f t="shared" si="40"/>
        <v>0</v>
      </c>
      <c r="H128" s="56">
        <f t="shared" si="40"/>
        <v>0</v>
      </c>
      <c r="I128" s="56">
        <f t="shared" si="40"/>
        <v>0</v>
      </c>
      <c r="J128" s="56">
        <f t="shared" si="40"/>
        <v>0</v>
      </c>
      <c r="K128" s="56">
        <f t="shared" si="40"/>
        <v>0</v>
      </c>
      <c r="L128" s="56">
        <f t="shared" si="32"/>
        <v>0</v>
      </c>
    </row>
    <row r="129" spans="1:12" ht="18">
      <c r="A129" s="180" t="s">
        <v>382</v>
      </c>
      <c r="B129" s="184" t="s">
        <v>659</v>
      </c>
      <c r="C129" s="56">
        <f t="shared" si="40"/>
        <v>125833.477</v>
      </c>
      <c r="D129" s="56">
        <f t="shared" si="40"/>
        <v>62945.28</v>
      </c>
      <c r="E129" s="56">
        <f t="shared" si="40"/>
        <v>6031</v>
      </c>
      <c r="F129" s="56">
        <f t="shared" si="40"/>
        <v>6031</v>
      </c>
      <c r="G129" s="56">
        <f t="shared" si="40"/>
        <v>0</v>
      </c>
      <c r="H129" s="56">
        <f t="shared" si="40"/>
        <v>0</v>
      </c>
      <c r="I129" s="56">
        <f t="shared" si="40"/>
        <v>0</v>
      </c>
      <c r="J129" s="56">
        <f t="shared" si="40"/>
        <v>0</v>
      </c>
      <c r="K129" s="56">
        <f t="shared" si="40"/>
        <v>0</v>
      </c>
      <c r="L129" s="56">
        <f t="shared" si="32"/>
        <v>0</v>
      </c>
    </row>
    <row r="130" spans="1:12" ht="60.75">
      <c r="A130" s="188" t="s">
        <v>389</v>
      </c>
      <c r="B130" s="184" t="s">
        <v>660</v>
      </c>
      <c r="C130" s="56">
        <f>Fundamentare!B80+Fundamentare!B88+Fundamentare!B96</f>
        <v>125833.477</v>
      </c>
      <c r="D130" s="56">
        <f>Fundamentare!C80+Fundamentare!C88+Fundamentare!C96</f>
        <v>62945.28</v>
      </c>
      <c r="E130" s="56">
        <f>Fundamentare!D80+Fundamentare!D88+Fundamentare!D96</f>
        <v>6031</v>
      </c>
      <c r="F130" s="56">
        <f>Fundamentare!E80+Fundamentare!E88+Fundamentare!E96</f>
        <v>6031</v>
      </c>
      <c r="G130" s="56">
        <f>Fundamentare!F80+Fundamentare!F88+Fundamentare!F96</f>
        <v>0</v>
      </c>
      <c r="H130" s="56">
        <f>Fundamentare!G80+Fundamentare!G88+Fundamentare!G96</f>
        <v>0</v>
      </c>
      <c r="I130" s="56">
        <f>Fundamentare!H80+Fundamentare!H88+Fundamentare!H96</f>
        <v>0</v>
      </c>
      <c r="J130" s="56">
        <f>Fundamentare!I80+Fundamentare!I88+Fundamentare!I96</f>
        <v>0</v>
      </c>
      <c r="K130" s="56">
        <f>Fundamentare!J80+Fundamentare!J88+Fundamentare!J96</f>
        <v>0</v>
      </c>
      <c r="L130" s="56">
        <f t="shared" si="32"/>
        <v>0</v>
      </c>
    </row>
    <row r="131" spans="1:12" ht="18">
      <c r="A131" s="182"/>
      <c r="B131" s="184"/>
      <c r="C131" s="56"/>
      <c r="D131" s="56"/>
      <c r="E131" s="56"/>
      <c r="F131" s="56"/>
      <c r="G131" s="56"/>
      <c r="H131" s="56"/>
      <c r="I131" s="56"/>
      <c r="J131" s="56"/>
      <c r="K131" s="56"/>
      <c r="L131" s="56">
        <f t="shared" si="32"/>
        <v>0</v>
      </c>
    </row>
    <row r="132" spans="1:12" ht="31.5">
      <c r="A132" s="181" t="s">
        <v>390</v>
      </c>
      <c r="B132" s="184">
        <v>57</v>
      </c>
      <c r="C132" s="56">
        <f aca="true" t="shared" si="41" ref="C132:K132">C134+C135</f>
        <v>17239120.845</v>
      </c>
      <c r="D132" s="56">
        <f t="shared" si="41"/>
        <v>18613361.76</v>
      </c>
      <c r="E132" s="56">
        <f t="shared" si="41"/>
        <v>18009212.03</v>
      </c>
      <c r="F132" s="56">
        <f t="shared" si="41"/>
        <v>18091960.214</v>
      </c>
      <c r="G132" s="56">
        <f t="shared" si="41"/>
        <v>21789281.120000005</v>
      </c>
      <c r="H132" s="56">
        <f t="shared" si="41"/>
        <v>26868678.200000003</v>
      </c>
      <c r="I132" s="56">
        <f t="shared" si="41"/>
        <v>27725606.950000003</v>
      </c>
      <c r="J132" s="56">
        <f t="shared" si="41"/>
        <v>30389992.5</v>
      </c>
      <c r="K132" s="56">
        <f t="shared" si="41"/>
        <v>21810521.120000005</v>
      </c>
      <c r="L132" s="56">
        <f t="shared" si="32"/>
        <v>21240</v>
      </c>
    </row>
    <row r="133" spans="1:12" ht="18">
      <c r="A133" s="182"/>
      <c r="B133" s="184"/>
      <c r="C133" s="56"/>
      <c r="D133" s="56"/>
      <c r="E133" s="56"/>
      <c r="F133" s="56"/>
      <c r="G133" s="56"/>
      <c r="H133" s="56"/>
      <c r="I133" s="56"/>
      <c r="J133" s="56"/>
      <c r="K133" s="56"/>
      <c r="L133" s="56">
        <f t="shared" si="32"/>
        <v>0</v>
      </c>
    </row>
    <row r="134" spans="1:12" ht="18">
      <c r="A134" s="180" t="s">
        <v>391</v>
      </c>
      <c r="B134" s="184" t="s">
        <v>661</v>
      </c>
      <c r="C134" s="56">
        <f>Fundamentare!B65+Fundamentare!B109</f>
        <v>14914275.48</v>
      </c>
      <c r="D134" s="56">
        <f>Fundamentare!C65+Fundamentare!C109</f>
        <v>17061015.6</v>
      </c>
      <c r="E134" s="56">
        <f>Fundamentare!D65+Fundamentare!D109</f>
        <v>17311015.6</v>
      </c>
      <c r="F134" s="56">
        <f>Fundamentare!E65+Fundamentare!E109</f>
        <v>17493763.784</v>
      </c>
      <c r="G134" s="56">
        <f>Fundamentare!F65+Fundamentare!F109</f>
        <v>21228600.200000003</v>
      </c>
      <c r="H134" s="56">
        <f>Fundamentare!G65+Fundamentare!G109</f>
        <v>26179722.200000003</v>
      </c>
      <c r="I134" s="56">
        <f>Fundamentare!H65+Fundamentare!H109</f>
        <v>26999509.200000003</v>
      </c>
      <c r="J134" s="56">
        <f>Fundamentare!I65+Fundamentare!I109</f>
        <v>29626907.4</v>
      </c>
      <c r="K134" s="56">
        <f>Fundamentare!J65+Fundamentare!J109</f>
        <v>21249840.200000003</v>
      </c>
      <c r="L134" s="56">
        <f t="shared" si="32"/>
        <v>21240</v>
      </c>
    </row>
    <row r="135" spans="1:12" ht="18">
      <c r="A135" s="180" t="s">
        <v>392</v>
      </c>
      <c r="B135" s="184" t="s">
        <v>662</v>
      </c>
      <c r="C135" s="56">
        <f aca="true" t="shared" si="42" ref="C135:K135">C136+C137</f>
        <v>2324845.3649999998</v>
      </c>
      <c r="D135" s="56">
        <f t="shared" si="42"/>
        <v>1552346.1600000001</v>
      </c>
      <c r="E135" s="56">
        <f t="shared" si="42"/>
        <v>698196.4299999999</v>
      </c>
      <c r="F135" s="56">
        <f t="shared" si="42"/>
        <v>598196.4299999999</v>
      </c>
      <c r="G135" s="56">
        <f t="shared" si="42"/>
        <v>560680.92</v>
      </c>
      <c r="H135" s="56">
        <f t="shared" si="42"/>
        <v>688956</v>
      </c>
      <c r="I135" s="56">
        <f t="shared" si="42"/>
        <v>726097.75</v>
      </c>
      <c r="J135" s="56">
        <f t="shared" si="42"/>
        <v>763085.1</v>
      </c>
      <c r="K135" s="56">
        <f t="shared" si="42"/>
        <v>560680.92</v>
      </c>
      <c r="L135" s="56">
        <f t="shared" si="32"/>
        <v>0</v>
      </c>
    </row>
    <row r="136" spans="1:12" ht="30.75">
      <c r="A136" s="186" t="s">
        <v>393</v>
      </c>
      <c r="B136" s="184" t="s">
        <v>663</v>
      </c>
      <c r="C136" s="56">
        <f>Fundamentare!B77+Fundamentare!B85+Fundamentare!B93+Fundamentare!B100+Fundamentare!B104</f>
        <v>2082714.88</v>
      </c>
      <c r="D136" s="56">
        <f>Fundamentare!C77+Fundamentare!C85+Fundamentare!C93+Fundamentare!C100+Fundamentare!C104</f>
        <v>1268068.1600000001</v>
      </c>
      <c r="E136" s="56">
        <f>Fundamentare!D77+Fundamentare!D85+Fundamentare!D93+Fundamentare!D100+Fundamentare!D104</f>
        <v>328918.43</v>
      </c>
      <c r="F136" s="56">
        <f>Fundamentare!E77+Fundamentare!E85+Fundamentare!E93+Fundamentare!E100+Fundamentare!E104</f>
        <v>328918.43</v>
      </c>
      <c r="G136" s="56">
        <f>Fundamentare!F77+Fundamentare!F85+Fundamentare!F93+Fundamentare!F100+Fundamentare!F104</f>
        <v>249876.52</v>
      </c>
      <c r="H136" s="56">
        <f>Fundamentare!G77+Fundamentare!G85+Fundamentare!G93+Fundamentare!G100+Fundamentare!G104</f>
        <v>273476</v>
      </c>
      <c r="I136" s="56">
        <f>Fundamentare!H77+Fundamentare!H85+Fundamentare!H93+Fundamentare!H100+Fundamentare!H104</f>
        <v>298397.75</v>
      </c>
      <c r="J136" s="56">
        <f>Fundamentare!I77+Fundamentare!I85+Fundamentare!I93+Fundamentare!I100+Fundamentare!I104</f>
        <v>322225.1</v>
      </c>
      <c r="K136" s="56">
        <f>Fundamentare!J77+Fundamentare!J85+Fundamentare!J93+Fundamentare!J100+Fundamentare!J104</f>
        <v>249876.52</v>
      </c>
      <c r="L136" s="56">
        <f t="shared" si="32"/>
        <v>0</v>
      </c>
    </row>
    <row r="137" spans="1:12" ht="30.75">
      <c r="A137" s="186" t="s">
        <v>394</v>
      </c>
      <c r="B137" s="184" t="s">
        <v>664</v>
      </c>
      <c r="C137" s="56">
        <f>Fundamentare!B111</f>
        <v>242130.485</v>
      </c>
      <c r="D137" s="56">
        <f>Fundamentare!C111</f>
        <v>284278</v>
      </c>
      <c r="E137" s="56">
        <f>Fundamentare!D111</f>
        <v>369278</v>
      </c>
      <c r="F137" s="56">
        <f>Fundamentare!E111</f>
        <v>269278</v>
      </c>
      <c r="G137" s="56">
        <f>Fundamentare!F111</f>
        <v>310804.4</v>
      </c>
      <c r="H137" s="56">
        <f>Fundamentare!G111</f>
        <v>415480</v>
      </c>
      <c r="I137" s="56">
        <f>Fundamentare!H111</f>
        <v>427700</v>
      </c>
      <c r="J137" s="56">
        <f>Fundamentare!I111</f>
        <v>440860</v>
      </c>
      <c r="K137" s="56">
        <f>Fundamentare!J111</f>
        <v>310804.4</v>
      </c>
      <c r="L137" s="56">
        <f t="shared" si="32"/>
        <v>0</v>
      </c>
    </row>
    <row r="138" spans="1:12" ht="18">
      <c r="A138" s="180"/>
      <c r="B138" s="184"/>
      <c r="C138" s="56"/>
      <c r="D138" s="56"/>
      <c r="E138" s="56"/>
      <c r="F138" s="56"/>
      <c r="G138" s="56"/>
      <c r="H138" s="56"/>
      <c r="I138" s="56"/>
      <c r="J138" s="56"/>
      <c r="K138" s="56"/>
      <c r="L138" s="56">
        <f t="shared" si="32"/>
        <v>0</v>
      </c>
    </row>
    <row r="139" spans="1:12" ht="18">
      <c r="A139" s="182" t="s">
        <v>395</v>
      </c>
      <c r="B139" s="184">
        <v>70</v>
      </c>
      <c r="C139" s="56">
        <f aca="true" t="shared" si="43" ref="C139:K139">C140</f>
        <v>5129.6089999999995</v>
      </c>
      <c r="D139" s="56">
        <f t="shared" si="43"/>
        <v>17313</v>
      </c>
      <c r="E139" s="56">
        <f t="shared" si="43"/>
        <v>17313</v>
      </c>
      <c r="F139" s="56">
        <f t="shared" si="43"/>
        <v>17813</v>
      </c>
      <c r="G139" s="56">
        <f t="shared" si="43"/>
        <v>22234</v>
      </c>
      <c r="H139" s="56">
        <f t="shared" si="43"/>
        <v>22025.424</v>
      </c>
      <c r="I139" s="56">
        <f t="shared" si="43"/>
        <v>22685.186719999998</v>
      </c>
      <c r="J139" s="56">
        <f t="shared" si="43"/>
        <v>23365.686761439996</v>
      </c>
      <c r="K139" s="56">
        <f t="shared" si="43"/>
        <v>22234</v>
      </c>
      <c r="L139" s="56">
        <f t="shared" si="32"/>
        <v>0</v>
      </c>
    </row>
    <row r="140" spans="1:12" ht="18">
      <c r="A140" s="182" t="s">
        <v>396</v>
      </c>
      <c r="B140" s="184">
        <v>71</v>
      </c>
      <c r="C140" s="56">
        <f>Fundamentare!B205</f>
        <v>5129.6089999999995</v>
      </c>
      <c r="D140" s="56">
        <f>D141+D146</f>
        <v>17313</v>
      </c>
      <c r="E140" s="56">
        <f>E141+E146</f>
        <v>17313</v>
      </c>
      <c r="F140" s="56">
        <f>F141+F146</f>
        <v>17813</v>
      </c>
      <c r="G140" s="56">
        <f>G141+G146</f>
        <v>22234</v>
      </c>
      <c r="H140" s="56">
        <f>Fundamentare!G205</f>
        <v>22025.424</v>
      </c>
      <c r="I140" s="56">
        <f>Fundamentare!H205</f>
        <v>22685.186719999998</v>
      </c>
      <c r="J140" s="56">
        <f>Fundamentare!I205</f>
        <v>23365.686761439996</v>
      </c>
      <c r="K140" s="56">
        <f>K141+K146</f>
        <v>22234</v>
      </c>
      <c r="L140" s="56">
        <f t="shared" si="32"/>
        <v>0</v>
      </c>
    </row>
    <row r="141" spans="1:12" ht="18">
      <c r="A141" s="186" t="s">
        <v>397</v>
      </c>
      <c r="B141" s="184" t="s">
        <v>665</v>
      </c>
      <c r="C141" s="56">
        <f aca="true" t="shared" si="44" ref="C141:K141">C142+C143+C144+C145</f>
        <v>0</v>
      </c>
      <c r="D141" s="56">
        <f t="shared" si="44"/>
        <v>17313</v>
      </c>
      <c r="E141" s="56">
        <f t="shared" si="44"/>
        <v>17313</v>
      </c>
      <c r="F141" s="56">
        <f t="shared" si="44"/>
        <v>17813</v>
      </c>
      <c r="G141" s="56">
        <f t="shared" si="44"/>
        <v>18777</v>
      </c>
      <c r="H141" s="56">
        <f t="shared" si="44"/>
        <v>0</v>
      </c>
      <c r="I141" s="56">
        <f t="shared" si="44"/>
        <v>0</v>
      </c>
      <c r="J141" s="56">
        <f t="shared" si="44"/>
        <v>0</v>
      </c>
      <c r="K141" s="56">
        <f t="shared" si="44"/>
        <v>18777</v>
      </c>
      <c r="L141" s="56">
        <f t="shared" si="32"/>
        <v>0</v>
      </c>
    </row>
    <row r="142" spans="1:12" ht="18">
      <c r="A142" s="180" t="s">
        <v>398</v>
      </c>
      <c r="B142" s="184" t="s">
        <v>666</v>
      </c>
      <c r="C142" s="56">
        <f>Fundamentare!B207</f>
        <v>0</v>
      </c>
      <c r="D142" s="56">
        <f>Fundamentare!C207</f>
        <v>4764</v>
      </c>
      <c r="E142" s="56">
        <f>Fundamentare!D207</f>
        <v>13786</v>
      </c>
      <c r="F142" s="56">
        <f>Fundamentare!E207</f>
        <v>13786</v>
      </c>
      <c r="G142" s="56">
        <f>Fundamentare!F207</f>
        <v>9954</v>
      </c>
      <c r="H142" s="56">
        <f>Fundamentare!G207</f>
        <v>0</v>
      </c>
      <c r="I142" s="56">
        <f>Fundamentare!H207</f>
        <v>0</v>
      </c>
      <c r="J142" s="56">
        <f>Fundamentare!I207</f>
        <v>0</v>
      </c>
      <c r="K142" s="56">
        <f>Fundamentare!J207</f>
        <v>9954</v>
      </c>
      <c r="L142" s="56">
        <f t="shared" si="32"/>
        <v>0</v>
      </c>
    </row>
    <row r="143" spans="1:12" ht="30.75">
      <c r="A143" s="188" t="s">
        <v>399</v>
      </c>
      <c r="B143" s="184" t="s">
        <v>667</v>
      </c>
      <c r="C143" s="56">
        <f>Fundamentare!B208</f>
        <v>0</v>
      </c>
      <c r="D143" s="56">
        <f>Fundamentare!C208</f>
        <v>279</v>
      </c>
      <c r="E143" s="56">
        <f>Fundamentare!D208</f>
        <v>279</v>
      </c>
      <c r="F143" s="56">
        <f>Fundamentare!E208</f>
        <v>279</v>
      </c>
      <c r="G143" s="56">
        <f>Fundamentare!F208</f>
        <v>292</v>
      </c>
      <c r="H143" s="56">
        <f>Fundamentare!G208</f>
        <v>0</v>
      </c>
      <c r="I143" s="56">
        <f>Fundamentare!H208</f>
        <v>0</v>
      </c>
      <c r="J143" s="56">
        <f>Fundamentare!I208</f>
        <v>0</v>
      </c>
      <c r="K143" s="56">
        <f>Fundamentare!J208</f>
        <v>292</v>
      </c>
      <c r="L143" s="56">
        <f t="shared" si="32"/>
        <v>0</v>
      </c>
    </row>
    <row r="144" spans="1:12" ht="30.75">
      <c r="A144" s="186" t="s">
        <v>400</v>
      </c>
      <c r="B144" s="184" t="s">
        <v>668</v>
      </c>
      <c r="C144" s="56">
        <f>Fundamentare!B209</f>
        <v>0</v>
      </c>
      <c r="D144" s="56">
        <f>Fundamentare!C209</f>
        <v>7092</v>
      </c>
      <c r="E144" s="56">
        <f>Fundamentare!D209</f>
        <v>866</v>
      </c>
      <c r="F144" s="56">
        <f>Fundamentare!E209</f>
        <v>1366</v>
      </c>
      <c r="G144" s="56">
        <f>Fundamentare!F209</f>
        <v>7531</v>
      </c>
      <c r="H144" s="56">
        <f>Fundamentare!G209</f>
        <v>0</v>
      </c>
      <c r="I144" s="56">
        <f>Fundamentare!H209</f>
        <v>0</v>
      </c>
      <c r="J144" s="56">
        <f>Fundamentare!I209</f>
        <v>0</v>
      </c>
      <c r="K144" s="56">
        <f>Fundamentare!J209</f>
        <v>7531</v>
      </c>
      <c r="L144" s="56">
        <f t="shared" si="32"/>
        <v>0</v>
      </c>
    </row>
    <row r="145" spans="1:12" ht="18">
      <c r="A145" s="180" t="s">
        <v>401</v>
      </c>
      <c r="B145" s="184" t="s">
        <v>669</v>
      </c>
      <c r="C145" s="56">
        <f>Fundamentare!B210</f>
        <v>0</v>
      </c>
      <c r="D145" s="56">
        <f>Fundamentare!C210</f>
        <v>5178</v>
      </c>
      <c r="E145" s="56">
        <f>Fundamentare!D210</f>
        <v>2382</v>
      </c>
      <c r="F145" s="56">
        <f>Fundamentare!E210</f>
        <v>2382</v>
      </c>
      <c r="G145" s="56">
        <f>Fundamentare!F210</f>
        <v>1000</v>
      </c>
      <c r="H145" s="56">
        <f>Fundamentare!G210</f>
        <v>0</v>
      </c>
      <c r="I145" s="56">
        <f>Fundamentare!H210</f>
        <v>0</v>
      </c>
      <c r="J145" s="56">
        <f>Fundamentare!I210</f>
        <v>0</v>
      </c>
      <c r="K145" s="56">
        <f>Fundamentare!J210</f>
        <v>1000</v>
      </c>
      <c r="L145" s="56">
        <f t="shared" si="32"/>
        <v>0</v>
      </c>
    </row>
    <row r="146" spans="1:12" ht="18">
      <c r="A146" s="180" t="s">
        <v>402</v>
      </c>
      <c r="B146" s="184" t="s">
        <v>670</v>
      </c>
      <c r="C146" s="56">
        <f>Fundamentare!B211</f>
        <v>0</v>
      </c>
      <c r="D146" s="56">
        <f>Fundamentare!C211</f>
        <v>0</v>
      </c>
      <c r="E146" s="56">
        <f>Fundamentare!D211</f>
        <v>0</v>
      </c>
      <c r="F146" s="56">
        <f>Fundamentare!E211</f>
        <v>0</v>
      </c>
      <c r="G146" s="56">
        <f>Fundamentare!F211</f>
        <v>3457</v>
      </c>
      <c r="H146" s="56">
        <f>Fundamentare!G211</f>
        <v>0</v>
      </c>
      <c r="I146" s="56">
        <f>Fundamentare!H211</f>
        <v>0</v>
      </c>
      <c r="J146" s="56">
        <f>Fundamentare!I211</f>
        <v>0</v>
      </c>
      <c r="K146" s="56">
        <f>Fundamentare!J211</f>
        <v>3457</v>
      </c>
      <c r="L146" s="56">
        <f t="shared" si="32"/>
        <v>0</v>
      </c>
    </row>
    <row r="147" spans="1:12" ht="18">
      <c r="A147" s="180"/>
      <c r="B147" s="184"/>
      <c r="C147" s="56"/>
      <c r="D147" s="56"/>
      <c r="E147" s="56"/>
      <c r="F147" s="56"/>
      <c r="G147" s="56"/>
      <c r="H147" s="56"/>
      <c r="I147" s="56"/>
      <c r="J147" s="56"/>
      <c r="K147" s="56"/>
      <c r="L147" s="56">
        <f t="shared" si="32"/>
        <v>0</v>
      </c>
    </row>
    <row r="148" spans="1:12" ht="18">
      <c r="A148" s="182" t="s">
        <v>403</v>
      </c>
      <c r="B148" s="184">
        <v>79</v>
      </c>
      <c r="C148" s="56">
        <f aca="true" t="shared" si="45" ref="C148:K150">C149</f>
        <v>2409.79</v>
      </c>
      <c r="D148" s="56">
        <f t="shared" si="45"/>
        <v>4039</v>
      </c>
      <c r="E148" s="56">
        <f t="shared" si="45"/>
        <v>4119</v>
      </c>
      <c r="F148" s="56">
        <f t="shared" si="45"/>
        <v>4119</v>
      </c>
      <c r="G148" s="56">
        <f t="shared" si="45"/>
        <v>4024</v>
      </c>
      <c r="H148" s="56">
        <f t="shared" si="45"/>
        <v>4233</v>
      </c>
      <c r="I148" s="56">
        <f t="shared" si="45"/>
        <v>4467</v>
      </c>
      <c r="J148" s="56">
        <f t="shared" si="45"/>
        <v>4798</v>
      </c>
      <c r="K148" s="56">
        <f t="shared" si="45"/>
        <v>4024</v>
      </c>
      <c r="L148" s="56">
        <f t="shared" si="32"/>
        <v>0</v>
      </c>
    </row>
    <row r="149" spans="1:12" ht="18">
      <c r="A149" s="182" t="s">
        <v>404</v>
      </c>
      <c r="B149" s="184">
        <v>81</v>
      </c>
      <c r="C149" s="56">
        <f t="shared" si="45"/>
        <v>2409.79</v>
      </c>
      <c r="D149" s="56">
        <f t="shared" si="45"/>
        <v>4039</v>
      </c>
      <c r="E149" s="56">
        <f t="shared" si="45"/>
        <v>4119</v>
      </c>
      <c r="F149" s="56">
        <f t="shared" si="45"/>
        <v>4119</v>
      </c>
      <c r="G149" s="56">
        <f t="shared" si="45"/>
        <v>4024</v>
      </c>
      <c r="H149" s="56">
        <f t="shared" si="45"/>
        <v>4233</v>
      </c>
      <c r="I149" s="56">
        <f t="shared" si="45"/>
        <v>4467</v>
      </c>
      <c r="J149" s="56">
        <f t="shared" si="45"/>
        <v>4798</v>
      </c>
      <c r="K149" s="56">
        <f t="shared" si="45"/>
        <v>4024</v>
      </c>
      <c r="L149" s="56">
        <f t="shared" si="32"/>
        <v>0</v>
      </c>
    </row>
    <row r="150" spans="1:12" ht="30.75">
      <c r="A150" s="186" t="s">
        <v>405</v>
      </c>
      <c r="B150" s="184" t="s">
        <v>549</v>
      </c>
      <c r="C150" s="56">
        <f t="shared" si="45"/>
        <v>2409.79</v>
      </c>
      <c r="D150" s="56">
        <f t="shared" si="45"/>
        <v>4039</v>
      </c>
      <c r="E150" s="56">
        <f t="shared" si="45"/>
        <v>4119</v>
      </c>
      <c r="F150" s="56">
        <f t="shared" si="45"/>
        <v>4119</v>
      </c>
      <c r="G150" s="56">
        <f t="shared" si="45"/>
        <v>4024</v>
      </c>
      <c r="H150" s="56">
        <f t="shared" si="45"/>
        <v>4233</v>
      </c>
      <c r="I150" s="56">
        <f t="shared" si="45"/>
        <v>4467</v>
      </c>
      <c r="J150" s="56">
        <f t="shared" si="45"/>
        <v>4798</v>
      </c>
      <c r="K150" s="56">
        <f t="shared" si="45"/>
        <v>4024</v>
      </c>
      <c r="L150" s="56">
        <f t="shared" si="32"/>
        <v>0</v>
      </c>
    </row>
    <row r="151" spans="1:12" ht="45.75">
      <c r="A151" s="188" t="s">
        <v>406</v>
      </c>
      <c r="B151" s="184" t="s">
        <v>550</v>
      </c>
      <c r="C151" s="56">
        <f>Fundamentare!B203</f>
        <v>2409.79</v>
      </c>
      <c r="D151" s="56">
        <f>Fundamentare!C203</f>
        <v>4039</v>
      </c>
      <c r="E151" s="56">
        <f>Fundamentare!D203</f>
        <v>4119</v>
      </c>
      <c r="F151" s="56">
        <f>Fundamentare!E203</f>
        <v>4119</v>
      </c>
      <c r="G151" s="56">
        <f>Fundamentare!F203</f>
        <v>4024</v>
      </c>
      <c r="H151" s="56">
        <f>Fundamentare!G203</f>
        <v>4233</v>
      </c>
      <c r="I151" s="56">
        <f>Fundamentare!H203</f>
        <v>4467</v>
      </c>
      <c r="J151" s="56">
        <f>Fundamentare!I203</f>
        <v>4798</v>
      </c>
      <c r="K151" s="56">
        <f>Fundamentare!J203</f>
        <v>4024</v>
      </c>
      <c r="L151" s="56">
        <f t="shared" si="32"/>
        <v>0</v>
      </c>
    </row>
    <row r="152" spans="1:12" ht="18">
      <c r="A152" s="180"/>
      <c r="B152" s="184"/>
      <c r="C152" s="56"/>
      <c r="D152" s="56"/>
      <c r="E152" s="56"/>
      <c r="F152" s="56"/>
      <c r="G152" s="56"/>
      <c r="H152" s="56"/>
      <c r="I152" s="56"/>
      <c r="J152" s="56"/>
      <c r="K152" s="56"/>
      <c r="L152" s="56">
        <f t="shared" si="32"/>
        <v>0</v>
      </c>
    </row>
    <row r="153" spans="1:12" ht="18">
      <c r="A153" s="180"/>
      <c r="B153" s="200"/>
      <c r="C153" s="201"/>
      <c r="D153" s="201"/>
      <c r="E153" s="201"/>
      <c r="F153" s="201"/>
      <c r="G153" s="201"/>
      <c r="H153" s="201"/>
      <c r="I153" s="201"/>
      <c r="J153" s="201"/>
      <c r="K153" s="201"/>
      <c r="L153" s="56">
        <f t="shared" si="32"/>
        <v>0</v>
      </c>
    </row>
    <row r="154" spans="1:12" ht="18">
      <c r="A154" s="182" t="s">
        <v>407</v>
      </c>
      <c r="B154" s="200"/>
      <c r="C154" s="201"/>
      <c r="D154" s="201"/>
      <c r="E154" s="201"/>
      <c r="F154" s="201"/>
      <c r="G154" s="201"/>
      <c r="H154" s="201"/>
      <c r="I154" s="201"/>
      <c r="J154" s="201"/>
      <c r="K154" s="201"/>
      <c r="L154" s="56">
        <f t="shared" si="32"/>
        <v>0</v>
      </c>
    </row>
    <row r="155" spans="1:12" ht="18">
      <c r="A155" s="180" t="s">
        <v>408</v>
      </c>
      <c r="B155" s="202" t="s">
        <v>551</v>
      </c>
      <c r="C155" s="67">
        <f aca="true" t="shared" si="46" ref="C155:K155">C157+C159+C161+C164+C166+C168</f>
        <v>17734728.09</v>
      </c>
      <c r="D155" s="67">
        <f t="shared" si="46"/>
        <v>19077068.04</v>
      </c>
      <c r="E155" s="67">
        <f t="shared" si="46"/>
        <v>18491609.03</v>
      </c>
      <c r="F155" s="67">
        <f t="shared" si="46"/>
        <v>18565109.214</v>
      </c>
      <c r="G155" s="67">
        <f t="shared" si="46"/>
        <v>22332737.12</v>
      </c>
      <c r="H155" s="67">
        <f t="shared" si="46"/>
        <v>27425572.252000004</v>
      </c>
      <c r="I155" s="67">
        <f t="shared" si="46"/>
        <v>28298331.571160004</v>
      </c>
      <c r="J155" s="67">
        <f t="shared" si="46"/>
        <v>30977518.22390092</v>
      </c>
      <c r="K155" s="67">
        <f t="shared" si="46"/>
        <v>22353977.12</v>
      </c>
      <c r="L155" s="56">
        <f t="shared" si="32"/>
        <v>21240</v>
      </c>
    </row>
    <row r="156" spans="1:12" ht="18">
      <c r="A156" s="180"/>
      <c r="B156" s="202"/>
      <c r="C156" s="67"/>
      <c r="D156" s="67"/>
      <c r="E156" s="67"/>
      <c r="F156" s="67"/>
      <c r="G156" s="67"/>
      <c r="H156" s="67"/>
      <c r="I156" s="67"/>
      <c r="J156" s="67"/>
      <c r="K156" s="67"/>
      <c r="L156" s="56">
        <f t="shared" si="32"/>
        <v>0</v>
      </c>
    </row>
    <row r="157" spans="1:12" ht="30.75">
      <c r="A157" s="186" t="s">
        <v>409</v>
      </c>
      <c r="B157" s="184" t="s">
        <v>671</v>
      </c>
      <c r="C157" s="56">
        <f aca="true" t="shared" si="47" ref="C157:K157">C134</f>
        <v>14914275.48</v>
      </c>
      <c r="D157" s="56">
        <f t="shared" si="47"/>
        <v>17061015.6</v>
      </c>
      <c r="E157" s="56">
        <f t="shared" si="47"/>
        <v>17311015.6</v>
      </c>
      <c r="F157" s="134">
        <f t="shared" si="47"/>
        <v>17493763.784</v>
      </c>
      <c r="G157" s="56">
        <f t="shared" si="47"/>
        <v>21228600.200000003</v>
      </c>
      <c r="H157" s="56">
        <f t="shared" si="47"/>
        <v>26179722.200000003</v>
      </c>
      <c r="I157" s="56">
        <f t="shared" si="47"/>
        <v>26999509.200000003</v>
      </c>
      <c r="J157" s="56">
        <f t="shared" si="47"/>
        <v>29626907.4</v>
      </c>
      <c r="K157" s="56">
        <f t="shared" si="47"/>
        <v>21249840.200000003</v>
      </c>
      <c r="L157" s="56">
        <f t="shared" si="32"/>
        <v>21240</v>
      </c>
    </row>
    <row r="158" spans="1:12" ht="18">
      <c r="A158" s="186"/>
      <c r="B158" s="184"/>
      <c r="C158" s="56"/>
      <c r="D158" s="56"/>
      <c r="E158" s="56"/>
      <c r="F158" s="56"/>
      <c r="G158" s="56"/>
      <c r="H158" s="56"/>
      <c r="I158" s="56"/>
      <c r="J158" s="56"/>
      <c r="K158" s="56"/>
      <c r="L158" s="56">
        <f t="shared" si="32"/>
        <v>0</v>
      </c>
    </row>
    <row r="159" spans="1:12" ht="30.75">
      <c r="A159" s="188" t="s">
        <v>410</v>
      </c>
      <c r="B159" s="184" t="s">
        <v>672</v>
      </c>
      <c r="C159" s="56">
        <f aca="true" t="shared" si="48" ref="C159:K159">C137</f>
        <v>242130.485</v>
      </c>
      <c r="D159" s="56">
        <f t="shared" si="48"/>
        <v>284278</v>
      </c>
      <c r="E159" s="56">
        <f t="shared" si="48"/>
        <v>369278</v>
      </c>
      <c r="F159" s="56">
        <f t="shared" si="48"/>
        <v>269278</v>
      </c>
      <c r="G159" s="56">
        <f t="shared" si="48"/>
        <v>310804.4</v>
      </c>
      <c r="H159" s="56">
        <f t="shared" si="48"/>
        <v>415480</v>
      </c>
      <c r="I159" s="56">
        <f t="shared" si="48"/>
        <v>427700</v>
      </c>
      <c r="J159" s="56">
        <f t="shared" si="48"/>
        <v>440860</v>
      </c>
      <c r="K159" s="56">
        <f t="shared" si="48"/>
        <v>310804.4</v>
      </c>
      <c r="L159" s="56">
        <f t="shared" si="32"/>
        <v>0</v>
      </c>
    </row>
    <row r="160" spans="1:12" ht="18">
      <c r="A160" s="186"/>
      <c r="B160" s="184"/>
      <c r="C160" s="56"/>
      <c r="D160" s="56"/>
      <c r="E160" s="56"/>
      <c r="F160" s="56"/>
      <c r="G160" s="56"/>
      <c r="H160" s="56"/>
      <c r="I160" s="56"/>
      <c r="J160" s="56"/>
      <c r="K160" s="56"/>
      <c r="L160" s="56">
        <f t="shared" si="32"/>
        <v>0</v>
      </c>
    </row>
    <row r="161" spans="1:12" ht="30.75">
      <c r="A161" s="198" t="s">
        <v>411</v>
      </c>
      <c r="B161" s="184" t="s">
        <v>673</v>
      </c>
      <c r="C161" s="56">
        <f aca="true" t="shared" si="49" ref="C161:K161">C162</f>
        <v>329747.426</v>
      </c>
      <c r="D161" s="56">
        <f t="shared" si="49"/>
        <v>270026.2</v>
      </c>
      <c r="E161" s="56">
        <f t="shared" si="49"/>
        <v>20054</v>
      </c>
      <c r="F161" s="56">
        <f t="shared" si="49"/>
        <v>20054</v>
      </c>
      <c r="G161" s="56">
        <f t="shared" si="49"/>
        <v>0</v>
      </c>
      <c r="H161" s="56">
        <f t="shared" si="49"/>
        <v>0</v>
      </c>
      <c r="I161" s="56">
        <f t="shared" si="49"/>
        <v>0</v>
      </c>
      <c r="J161" s="56">
        <f t="shared" si="49"/>
        <v>0</v>
      </c>
      <c r="K161" s="56">
        <f t="shared" si="49"/>
        <v>0</v>
      </c>
      <c r="L161" s="56">
        <f t="shared" si="32"/>
        <v>0</v>
      </c>
    </row>
    <row r="162" spans="1:12" ht="30.75">
      <c r="A162" s="198" t="s">
        <v>412</v>
      </c>
      <c r="B162" s="184" t="s">
        <v>674</v>
      </c>
      <c r="C162" s="56">
        <f>Fundamentare!B76</f>
        <v>329747.426</v>
      </c>
      <c r="D162" s="56">
        <f>Fundamentare!C76</f>
        <v>270026.2</v>
      </c>
      <c r="E162" s="56">
        <f>Fundamentare!D76</f>
        <v>20054</v>
      </c>
      <c r="F162" s="56">
        <f>Fundamentare!E76</f>
        <v>20054</v>
      </c>
      <c r="G162" s="56">
        <f>Fundamentare!F76</f>
        <v>0</v>
      </c>
      <c r="H162" s="56">
        <f>Fundamentare!G76</f>
        <v>0</v>
      </c>
      <c r="I162" s="56">
        <f>Fundamentare!H76</f>
        <v>0</v>
      </c>
      <c r="J162" s="56">
        <f>Fundamentare!I76</f>
        <v>0</v>
      </c>
      <c r="K162" s="56">
        <f>Fundamentare!J76</f>
        <v>0</v>
      </c>
      <c r="L162" s="56">
        <f aca="true" t="shared" si="50" ref="L162:L225">K162-G162</f>
        <v>0</v>
      </c>
    </row>
    <row r="163" spans="1:12" ht="18">
      <c r="A163" s="198"/>
      <c r="B163" s="184"/>
      <c r="C163" s="56"/>
      <c r="D163" s="56"/>
      <c r="E163" s="56"/>
      <c r="F163" s="56"/>
      <c r="G163" s="56"/>
      <c r="H163" s="56"/>
      <c r="I163" s="56"/>
      <c r="J163" s="56"/>
      <c r="K163" s="56"/>
      <c r="L163" s="56">
        <f t="shared" si="50"/>
        <v>0</v>
      </c>
    </row>
    <row r="164" spans="1:12" ht="30.75">
      <c r="A164" s="198" t="s">
        <v>413</v>
      </c>
      <c r="B164" s="184" t="s">
        <v>675</v>
      </c>
      <c r="C164" s="56">
        <f>Fundamentare!B84+Fundamentare!B92</f>
        <v>1674108.94</v>
      </c>
      <c r="D164" s="56">
        <f>Fundamentare!C84+Fundamentare!C92</f>
        <v>860664.24</v>
      </c>
      <c r="E164" s="56">
        <f>Fundamentare!D84+Fundamentare!D92</f>
        <v>86572</v>
      </c>
      <c r="F164" s="56">
        <f>Fundamentare!E84+Fundamentare!E92</f>
        <v>86572</v>
      </c>
      <c r="G164" s="56">
        <f>Fundamentare!F84+Fundamentare!F92</f>
        <v>0</v>
      </c>
      <c r="H164" s="56">
        <f>Fundamentare!G84+Fundamentare!G92</f>
        <v>0</v>
      </c>
      <c r="I164" s="56">
        <f>Fundamentare!H84+Fundamentare!H92</f>
        <v>0</v>
      </c>
      <c r="J164" s="56">
        <f>Fundamentare!I84+Fundamentare!I92</f>
        <v>0</v>
      </c>
      <c r="K164" s="56">
        <f>Fundamentare!J84+Fundamentare!J92</f>
        <v>0</v>
      </c>
      <c r="L164" s="56">
        <f t="shared" si="50"/>
        <v>0</v>
      </c>
    </row>
    <row r="165" spans="1:12" ht="18">
      <c r="A165" s="198"/>
      <c r="B165" s="184"/>
      <c r="C165" s="56"/>
      <c r="D165" s="56"/>
      <c r="E165" s="56"/>
      <c r="F165" s="56"/>
      <c r="G165" s="56"/>
      <c r="H165" s="56"/>
      <c r="I165" s="56"/>
      <c r="J165" s="56"/>
      <c r="K165" s="56"/>
      <c r="L165" s="56">
        <f t="shared" si="50"/>
        <v>0</v>
      </c>
    </row>
    <row r="166" spans="1:12" ht="45.75">
      <c r="A166" s="198" t="s">
        <v>414</v>
      </c>
      <c r="B166" s="184" t="s">
        <v>676</v>
      </c>
      <c r="C166" s="56">
        <f>Fundamentare!B100+Fundamentare!B104</f>
        <v>204691.991</v>
      </c>
      <c r="D166" s="56">
        <f>Fundamentare!C100+Fundamentare!C104</f>
        <v>200323</v>
      </c>
      <c r="E166" s="56">
        <f>Fundamentare!D100+Fundamentare!D104</f>
        <v>228323.43</v>
      </c>
      <c r="F166" s="56">
        <f>Fundamentare!E100+Fundamentare!E104</f>
        <v>228323.43</v>
      </c>
      <c r="G166" s="56">
        <f>Fundamentare!F100+Fundamentare!F104</f>
        <v>249876.52</v>
      </c>
      <c r="H166" s="56">
        <f>Fundamentare!G100+Fundamentare!G104</f>
        <v>273476</v>
      </c>
      <c r="I166" s="56">
        <f>Fundamentare!H100+Fundamentare!H104</f>
        <v>298397.75</v>
      </c>
      <c r="J166" s="56">
        <f>Fundamentare!I100+Fundamentare!I104</f>
        <v>322225.1</v>
      </c>
      <c r="K166" s="56">
        <f>Fundamentare!J100+Fundamentare!J104</f>
        <v>249876.52</v>
      </c>
      <c r="L166" s="56">
        <f t="shared" si="50"/>
        <v>0</v>
      </c>
    </row>
    <row r="167" spans="1:12" ht="18">
      <c r="A167" s="198"/>
      <c r="B167" s="184"/>
      <c r="C167" s="56"/>
      <c r="D167" s="56"/>
      <c r="E167" s="56"/>
      <c r="F167" s="56"/>
      <c r="G167" s="56"/>
      <c r="H167" s="56"/>
      <c r="I167" s="56"/>
      <c r="J167" s="56"/>
      <c r="K167" s="56"/>
      <c r="L167" s="56">
        <f t="shared" si="50"/>
        <v>0</v>
      </c>
    </row>
    <row r="168" spans="1:12" ht="30.75">
      <c r="A168" s="198" t="s">
        <v>415</v>
      </c>
      <c r="B168" s="184" t="s">
        <v>677</v>
      </c>
      <c r="C168" s="56">
        <f>Fundamentare!B115</f>
        <v>369773.7679999999</v>
      </c>
      <c r="D168" s="56">
        <f>Fundamentare!C115</f>
        <v>400761</v>
      </c>
      <c r="E168" s="56">
        <f>Fundamentare!D115</f>
        <v>476366</v>
      </c>
      <c r="F168" s="56">
        <f>Fundamentare!E115</f>
        <v>467118</v>
      </c>
      <c r="G168" s="56">
        <f>Fundamentare!F115</f>
        <v>543456</v>
      </c>
      <c r="H168" s="56">
        <f>Fundamentare!G115</f>
        <v>556894.052</v>
      </c>
      <c r="I168" s="56">
        <f>Fundamentare!H115</f>
        <v>572724.62116</v>
      </c>
      <c r="J168" s="56">
        <f>Fundamentare!I115</f>
        <v>587525.72390092</v>
      </c>
      <c r="K168" s="56">
        <f>Fundamentare!J115</f>
        <v>543456</v>
      </c>
      <c r="L168" s="56">
        <f t="shared" si="50"/>
        <v>0</v>
      </c>
    </row>
    <row r="169" spans="1:12" ht="45.75">
      <c r="A169" s="186" t="s">
        <v>416</v>
      </c>
      <c r="B169" s="184" t="s">
        <v>678</v>
      </c>
      <c r="C169" s="56">
        <f>Fundamentare!B195</f>
        <v>188921.64</v>
      </c>
      <c r="D169" s="56">
        <f>Fundamentare!C195</f>
        <v>230324</v>
      </c>
      <c r="E169" s="56">
        <f>Fundamentare!D195</f>
        <v>230324</v>
      </c>
      <c r="F169" s="56">
        <f>Fundamentare!E195</f>
        <v>230324</v>
      </c>
      <c r="G169" s="56">
        <f>Fundamentare!F195</f>
        <v>276420</v>
      </c>
      <c r="H169" s="56">
        <f>Fundamentare!G195</f>
        <v>353426</v>
      </c>
      <c r="I169" s="56">
        <f>Fundamentare!H195</f>
        <v>364493</v>
      </c>
      <c r="J169" s="56">
        <f>Fundamentare!I195</f>
        <v>399963</v>
      </c>
      <c r="K169" s="56">
        <f>Fundamentare!J195</f>
        <v>276420</v>
      </c>
      <c r="L169" s="56">
        <f t="shared" si="50"/>
        <v>0</v>
      </c>
    </row>
    <row r="170" spans="1:12" ht="45.75">
      <c r="A170" s="198" t="s">
        <v>417</v>
      </c>
      <c r="B170" s="184" t="s">
        <v>679</v>
      </c>
      <c r="C170" s="56">
        <f aca="true" t="shared" si="51" ref="C170:K170">C168-C169</f>
        <v>180852.1279999999</v>
      </c>
      <c r="D170" s="56">
        <f t="shared" si="51"/>
        <v>170437</v>
      </c>
      <c r="E170" s="56">
        <f t="shared" si="51"/>
        <v>246042</v>
      </c>
      <c r="F170" s="56">
        <f t="shared" si="51"/>
        <v>236794</v>
      </c>
      <c r="G170" s="56">
        <f t="shared" si="51"/>
        <v>267036</v>
      </c>
      <c r="H170" s="56">
        <f t="shared" si="51"/>
        <v>203468.05200000003</v>
      </c>
      <c r="I170" s="56">
        <f t="shared" si="51"/>
        <v>208231.62115999998</v>
      </c>
      <c r="J170" s="56">
        <f t="shared" si="51"/>
        <v>187562.72390092</v>
      </c>
      <c r="K170" s="56">
        <f t="shared" si="51"/>
        <v>267036</v>
      </c>
      <c r="L170" s="56">
        <f t="shared" si="50"/>
        <v>0</v>
      </c>
    </row>
    <row r="171" spans="1:12" ht="18">
      <c r="A171" s="180"/>
      <c r="B171" s="184"/>
      <c r="C171" s="56"/>
      <c r="D171" s="56"/>
      <c r="E171" s="56"/>
      <c r="F171" s="56"/>
      <c r="G171" s="56"/>
      <c r="H171" s="56"/>
      <c r="I171" s="56"/>
      <c r="J171" s="56"/>
      <c r="K171" s="56"/>
      <c r="L171" s="56">
        <f t="shared" si="50"/>
        <v>0</v>
      </c>
    </row>
    <row r="172" spans="1:12" ht="18">
      <c r="A172" s="180"/>
      <c r="B172" s="184"/>
      <c r="C172" s="56"/>
      <c r="D172" s="56"/>
      <c r="E172" s="56"/>
      <c r="F172" s="56"/>
      <c r="G172" s="56"/>
      <c r="H172" s="56"/>
      <c r="I172" s="56"/>
      <c r="J172" s="56"/>
      <c r="K172" s="56"/>
      <c r="L172" s="56">
        <f t="shared" si="50"/>
        <v>0</v>
      </c>
    </row>
    <row r="173" spans="1:12" ht="63">
      <c r="A173" s="181" t="s">
        <v>418</v>
      </c>
      <c r="B173" s="189" t="s">
        <v>680</v>
      </c>
      <c r="C173" s="67">
        <f aca="true" t="shared" si="52" ref="C173:K173">C174+C250+C259</f>
        <v>10131.331</v>
      </c>
      <c r="D173" s="67">
        <f t="shared" si="52"/>
        <v>103521.81399200001</v>
      </c>
      <c r="E173" s="67">
        <f t="shared" si="52"/>
        <v>104271.81399200001</v>
      </c>
      <c r="F173" s="67">
        <f t="shared" si="52"/>
        <v>30772.546000000002</v>
      </c>
      <c r="G173" s="67">
        <f t="shared" si="52"/>
        <v>105366.64</v>
      </c>
      <c r="H173" s="67">
        <f t="shared" si="52"/>
        <v>120438.83199999998</v>
      </c>
      <c r="I173" s="67">
        <f t="shared" si="52"/>
        <v>127598.09195999999</v>
      </c>
      <c r="J173" s="67">
        <f t="shared" si="52"/>
        <v>135702.20744492</v>
      </c>
      <c r="K173" s="67">
        <f t="shared" si="52"/>
        <v>105677.97511</v>
      </c>
      <c r="L173" s="56">
        <f t="shared" si="50"/>
        <v>311.33511</v>
      </c>
    </row>
    <row r="174" spans="1:12" ht="18">
      <c r="A174" s="180" t="s">
        <v>306</v>
      </c>
      <c r="B174" s="184" t="s">
        <v>548</v>
      </c>
      <c r="C174" s="56">
        <f aca="true" t="shared" si="53" ref="C174:K174">C175+C208+C237+C241+C245</f>
        <v>9024.018</v>
      </c>
      <c r="D174" s="56">
        <f t="shared" si="53"/>
        <v>99664.81399200001</v>
      </c>
      <c r="E174" s="56">
        <f t="shared" si="53"/>
        <v>100414.81399200001</v>
      </c>
      <c r="F174" s="56">
        <f t="shared" si="53"/>
        <v>27415.546000000002</v>
      </c>
      <c r="G174" s="56">
        <f t="shared" si="53"/>
        <v>101335.64</v>
      </c>
      <c r="H174" s="56">
        <f t="shared" si="53"/>
        <v>116267.71599999999</v>
      </c>
      <c r="I174" s="56">
        <f t="shared" si="53"/>
        <v>123300.84247999999</v>
      </c>
      <c r="J174" s="56">
        <f t="shared" si="53"/>
        <v>131276.93222896</v>
      </c>
      <c r="K174" s="56">
        <f t="shared" si="53"/>
        <v>101646.97511</v>
      </c>
      <c r="L174" s="56">
        <f t="shared" si="50"/>
        <v>311.33511</v>
      </c>
    </row>
    <row r="175" spans="1:12" ht="18">
      <c r="A175" s="197" t="s">
        <v>320</v>
      </c>
      <c r="B175" s="184">
        <v>10</v>
      </c>
      <c r="C175" s="56">
        <f>C176+C194+C201</f>
        <v>2086.733</v>
      </c>
      <c r="D175" s="56">
        <f>D176+D194+D201</f>
        <v>3220</v>
      </c>
      <c r="E175" s="56">
        <f>E176+E194+E201</f>
        <v>3970</v>
      </c>
      <c r="F175" s="56">
        <f>F176+F194+F201</f>
        <v>3970</v>
      </c>
      <c r="G175" s="56">
        <f>G176+G194+G201</f>
        <v>4785</v>
      </c>
      <c r="H175" s="56">
        <f>Fundamentare!G279</f>
        <v>4976.4</v>
      </c>
      <c r="I175" s="56">
        <f>Fundamentare!H279</f>
        <v>5150.574</v>
      </c>
      <c r="J175" s="56">
        <f>Fundamentare!I279</f>
        <v>5305.69122</v>
      </c>
      <c r="K175" s="56">
        <f>K176+K194+K201</f>
        <v>4785</v>
      </c>
      <c r="L175" s="56">
        <f t="shared" si="50"/>
        <v>0</v>
      </c>
    </row>
    <row r="176" spans="1:12" ht="18">
      <c r="A176" s="193" t="s">
        <v>223</v>
      </c>
      <c r="B176" s="191">
        <v>38362</v>
      </c>
      <c r="C176" s="56">
        <f aca="true" t="shared" si="54" ref="C176:K176">SUM(C177:C193)</f>
        <v>1587.3040000000003</v>
      </c>
      <c r="D176" s="56">
        <f t="shared" si="54"/>
        <v>2479</v>
      </c>
      <c r="E176" s="56">
        <f t="shared" si="54"/>
        <v>3060</v>
      </c>
      <c r="F176" s="56">
        <f t="shared" si="54"/>
        <v>3060</v>
      </c>
      <c r="G176" s="56">
        <f t="shared" si="54"/>
        <v>3725</v>
      </c>
      <c r="H176" s="56">
        <f t="shared" si="54"/>
        <v>0</v>
      </c>
      <c r="I176" s="56">
        <f t="shared" si="54"/>
        <v>0</v>
      </c>
      <c r="J176" s="56">
        <f t="shared" si="54"/>
        <v>0</v>
      </c>
      <c r="K176" s="56">
        <f t="shared" si="54"/>
        <v>3725</v>
      </c>
      <c r="L176" s="56">
        <f t="shared" si="50"/>
        <v>0</v>
      </c>
    </row>
    <row r="177" spans="1:12" ht="18">
      <c r="A177" s="187" t="s">
        <v>83</v>
      </c>
      <c r="B177" s="191" t="s">
        <v>555</v>
      </c>
      <c r="C177" s="57">
        <f>Fundamentare!B284</f>
        <v>1184.28</v>
      </c>
      <c r="D177" s="57">
        <f>Fundamentare!C284</f>
        <v>1970</v>
      </c>
      <c r="E177" s="57">
        <f>Fundamentare!D284</f>
        <v>1990</v>
      </c>
      <c r="F177" s="57">
        <f>Fundamentare!E284</f>
        <v>1990</v>
      </c>
      <c r="G177" s="57">
        <f>Fundamentare!F284</f>
        <v>2212</v>
      </c>
      <c r="H177" s="57">
        <f>Fundamentare!G284</f>
        <v>0</v>
      </c>
      <c r="I177" s="57">
        <f>Fundamentare!H284</f>
        <v>0</v>
      </c>
      <c r="J177" s="57">
        <f>Fundamentare!I284</f>
        <v>0</v>
      </c>
      <c r="K177" s="57">
        <f>Fundamentare!J284</f>
        <v>2212</v>
      </c>
      <c r="L177" s="56">
        <f t="shared" si="50"/>
        <v>0</v>
      </c>
    </row>
    <row r="178" spans="1:12" ht="18">
      <c r="A178" s="187" t="s">
        <v>84</v>
      </c>
      <c r="B178" s="191" t="s">
        <v>556</v>
      </c>
      <c r="C178" s="56">
        <f>Fundamentare!B285</f>
        <v>8.824</v>
      </c>
      <c r="D178" s="56">
        <f>Fundamentare!C285</f>
        <v>40</v>
      </c>
      <c r="E178" s="56">
        <f>Fundamentare!D285</f>
        <v>25</v>
      </c>
      <c r="F178" s="56">
        <f>Fundamentare!E285</f>
        <v>25</v>
      </c>
      <c r="G178" s="56">
        <f>Fundamentare!F285</f>
        <v>30</v>
      </c>
      <c r="H178" s="56">
        <f>Fundamentare!G285</f>
        <v>0</v>
      </c>
      <c r="I178" s="56">
        <f>Fundamentare!H285</f>
        <v>0</v>
      </c>
      <c r="J178" s="56">
        <f>Fundamentare!I285</f>
        <v>0</v>
      </c>
      <c r="K178" s="56">
        <f>Fundamentare!J285</f>
        <v>30</v>
      </c>
      <c r="L178" s="56">
        <f t="shared" si="50"/>
        <v>0</v>
      </c>
    </row>
    <row r="179" spans="1:12" ht="18">
      <c r="A179" s="187" t="s">
        <v>85</v>
      </c>
      <c r="B179" s="191" t="s">
        <v>557</v>
      </c>
      <c r="C179" s="56">
        <f>Fundamentare!B286</f>
        <v>5.189</v>
      </c>
      <c r="D179" s="56">
        <f>Fundamentare!C286</f>
        <v>15</v>
      </c>
      <c r="E179" s="56">
        <f>Fundamentare!D286</f>
        <v>10</v>
      </c>
      <c r="F179" s="56">
        <f>Fundamentare!E286</f>
        <v>10</v>
      </c>
      <c r="G179" s="56">
        <f>Fundamentare!F286</f>
        <v>13</v>
      </c>
      <c r="H179" s="56">
        <f>Fundamentare!G286</f>
        <v>0</v>
      </c>
      <c r="I179" s="56">
        <f>Fundamentare!H286</f>
        <v>0</v>
      </c>
      <c r="J179" s="56">
        <f>Fundamentare!I286</f>
        <v>0</v>
      </c>
      <c r="K179" s="56">
        <f>Fundamentare!J286</f>
        <v>13</v>
      </c>
      <c r="L179" s="56">
        <f t="shared" si="50"/>
        <v>0</v>
      </c>
    </row>
    <row r="180" spans="1:12" ht="18">
      <c r="A180" s="187" t="s">
        <v>86</v>
      </c>
      <c r="B180" s="191" t="s">
        <v>558</v>
      </c>
      <c r="C180" s="56">
        <f>Fundamentare!B287</f>
        <v>219.96</v>
      </c>
      <c r="D180" s="56">
        <f>Fundamentare!C287</f>
        <v>180</v>
      </c>
      <c r="E180" s="56">
        <f>Fundamentare!D287</f>
        <v>325</v>
      </c>
      <c r="F180" s="56">
        <f>Fundamentare!E287</f>
        <v>325</v>
      </c>
      <c r="G180" s="56">
        <f>Fundamentare!F287</f>
        <v>410</v>
      </c>
      <c r="H180" s="56">
        <f>Fundamentare!G287</f>
        <v>0</v>
      </c>
      <c r="I180" s="56">
        <f>Fundamentare!H287</f>
        <v>0</v>
      </c>
      <c r="J180" s="56">
        <f>Fundamentare!I287</f>
        <v>0</v>
      </c>
      <c r="K180" s="56">
        <f>Fundamentare!J287</f>
        <v>410</v>
      </c>
      <c r="L180" s="56">
        <f t="shared" si="50"/>
        <v>0</v>
      </c>
    </row>
    <row r="181" spans="1:12" ht="18">
      <c r="A181" s="187" t="s">
        <v>87</v>
      </c>
      <c r="B181" s="191" t="s">
        <v>559</v>
      </c>
      <c r="C181" s="56">
        <f>Fundamentare!B288</f>
        <v>0</v>
      </c>
      <c r="D181" s="56">
        <f>Fundamentare!C288</f>
        <v>0</v>
      </c>
      <c r="E181" s="56">
        <f>Fundamentare!D288</f>
        <v>0</v>
      </c>
      <c r="F181" s="56">
        <f>Fundamentare!E288</f>
        <v>0</v>
      </c>
      <c r="G181" s="56">
        <f>Fundamentare!F288</f>
        <v>0</v>
      </c>
      <c r="H181" s="56">
        <f>Fundamentare!G288</f>
        <v>0</v>
      </c>
      <c r="I181" s="56">
        <f>Fundamentare!H288</f>
        <v>0</v>
      </c>
      <c r="J181" s="56">
        <f>Fundamentare!I288</f>
        <v>0</v>
      </c>
      <c r="K181" s="56">
        <f>Fundamentare!J288</f>
        <v>0</v>
      </c>
      <c r="L181" s="56">
        <f t="shared" si="50"/>
        <v>0</v>
      </c>
    </row>
    <row r="182" spans="1:12" ht="18">
      <c r="A182" s="187" t="s">
        <v>88</v>
      </c>
      <c r="B182" s="191" t="s">
        <v>560</v>
      </c>
      <c r="C182" s="56">
        <f>Fundamentare!B289</f>
        <v>7.821</v>
      </c>
      <c r="D182" s="56">
        <f>Fundamentare!C289</f>
        <v>7</v>
      </c>
      <c r="E182" s="56">
        <f>Fundamentare!D289</f>
        <v>16</v>
      </c>
      <c r="F182" s="56">
        <f>Fundamentare!E289</f>
        <v>16</v>
      </c>
      <c r="G182" s="56">
        <f>Fundamentare!F289</f>
        <v>21</v>
      </c>
      <c r="H182" s="56">
        <f>Fundamentare!G289</f>
        <v>0</v>
      </c>
      <c r="I182" s="56">
        <f>Fundamentare!H289</f>
        <v>0</v>
      </c>
      <c r="J182" s="56">
        <f>Fundamentare!I289</f>
        <v>0</v>
      </c>
      <c r="K182" s="56">
        <f>Fundamentare!J289</f>
        <v>21</v>
      </c>
      <c r="L182" s="56">
        <f t="shared" si="50"/>
        <v>0</v>
      </c>
    </row>
    <row r="183" spans="1:12" ht="18">
      <c r="A183" s="187" t="s">
        <v>89</v>
      </c>
      <c r="B183" s="191" t="s">
        <v>561</v>
      </c>
      <c r="C183" s="56">
        <f>Fundamentare!B290</f>
        <v>45.318</v>
      </c>
      <c r="D183" s="56">
        <f>Fundamentare!C290</f>
        <v>37</v>
      </c>
      <c r="E183" s="56">
        <f>Fundamentare!D290</f>
        <v>300</v>
      </c>
      <c r="F183" s="56">
        <f>Fundamentare!E290</f>
        <v>300</v>
      </c>
      <c r="G183" s="56">
        <f>Fundamentare!F290</f>
        <v>300</v>
      </c>
      <c r="H183" s="56">
        <f>Fundamentare!G290</f>
        <v>0</v>
      </c>
      <c r="I183" s="56">
        <f>Fundamentare!H290</f>
        <v>0</v>
      </c>
      <c r="J183" s="56">
        <f>Fundamentare!I290</f>
        <v>0</v>
      </c>
      <c r="K183" s="56">
        <f>Fundamentare!J290</f>
        <v>300</v>
      </c>
      <c r="L183" s="56">
        <f t="shared" si="50"/>
        <v>0</v>
      </c>
    </row>
    <row r="184" spans="1:12" ht="18">
      <c r="A184" s="187" t="s">
        <v>90</v>
      </c>
      <c r="B184" s="191" t="s">
        <v>562</v>
      </c>
      <c r="C184" s="56">
        <f>Fundamentare!B291</f>
        <v>45.054</v>
      </c>
      <c r="D184" s="56">
        <f>Fundamentare!C291</f>
        <v>180</v>
      </c>
      <c r="E184" s="56">
        <f>Fundamentare!D291</f>
        <v>244</v>
      </c>
      <c r="F184" s="56">
        <f>Fundamentare!E291</f>
        <v>244</v>
      </c>
      <c r="G184" s="56">
        <f>Fundamentare!F291</f>
        <v>300</v>
      </c>
      <c r="H184" s="56">
        <f>Fundamentare!G291</f>
        <v>0</v>
      </c>
      <c r="I184" s="56">
        <f>Fundamentare!H291</f>
        <v>0</v>
      </c>
      <c r="J184" s="56">
        <f>Fundamentare!I291</f>
        <v>0</v>
      </c>
      <c r="K184" s="56">
        <f>Fundamentare!J291</f>
        <v>300</v>
      </c>
      <c r="L184" s="56">
        <f t="shared" si="50"/>
        <v>0</v>
      </c>
    </row>
    <row r="185" spans="1:12" ht="18">
      <c r="A185" s="187" t="s">
        <v>91</v>
      </c>
      <c r="B185" s="191" t="s">
        <v>563</v>
      </c>
      <c r="C185" s="56">
        <f>Fundamentare!B292</f>
        <v>0</v>
      </c>
      <c r="D185" s="56">
        <f>Fundamentare!C292</f>
        <v>0</v>
      </c>
      <c r="E185" s="56">
        <f>Fundamentare!D292</f>
        <v>0</v>
      </c>
      <c r="F185" s="56">
        <f>Fundamentare!E292</f>
        <v>0</v>
      </c>
      <c r="G185" s="56">
        <f>Fundamentare!F292</f>
        <v>174</v>
      </c>
      <c r="H185" s="56">
        <f>Fundamentare!G292</f>
        <v>0</v>
      </c>
      <c r="I185" s="56">
        <f>Fundamentare!H292</f>
        <v>0</v>
      </c>
      <c r="J185" s="56">
        <f>Fundamentare!I292</f>
        <v>0</v>
      </c>
      <c r="K185" s="56">
        <f>Fundamentare!J292</f>
        <v>174</v>
      </c>
      <c r="L185" s="56">
        <f t="shared" si="50"/>
        <v>0</v>
      </c>
    </row>
    <row r="186" spans="1:12" ht="30.75">
      <c r="A186" s="188" t="s">
        <v>92</v>
      </c>
      <c r="B186" s="191" t="s">
        <v>564</v>
      </c>
      <c r="C186" s="56">
        <f>Fundamentare!B293</f>
        <v>0</v>
      </c>
      <c r="D186" s="56">
        <f>Fundamentare!C293</f>
        <v>0</v>
      </c>
      <c r="E186" s="56">
        <f>Fundamentare!D293</f>
        <v>0</v>
      </c>
      <c r="F186" s="56">
        <f>Fundamentare!E293</f>
        <v>0</v>
      </c>
      <c r="G186" s="56">
        <f>Fundamentare!F293</f>
        <v>0</v>
      </c>
      <c r="H186" s="56">
        <f>Fundamentare!G293</f>
        <v>0</v>
      </c>
      <c r="I186" s="56">
        <f>Fundamentare!H293</f>
        <v>0</v>
      </c>
      <c r="J186" s="56">
        <f>Fundamentare!I293</f>
        <v>0</v>
      </c>
      <c r="K186" s="56">
        <f>Fundamentare!J293</f>
        <v>0</v>
      </c>
      <c r="L186" s="56">
        <f t="shared" si="50"/>
        <v>0</v>
      </c>
    </row>
    <row r="187" spans="1:12" ht="18">
      <c r="A187" s="187" t="s">
        <v>93</v>
      </c>
      <c r="B187" s="191" t="s">
        <v>565</v>
      </c>
      <c r="C187" s="56">
        <f>Fundamentare!B294</f>
        <v>0</v>
      </c>
      <c r="D187" s="56">
        <f>Fundamentare!C294</f>
        <v>0</v>
      </c>
      <c r="E187" s="56">
        <f>Fundamentare!D294</f>
        <v>0</v>
      </c>
      <c r="F187" s="56">
        <f>Fundamentare!E294</f>
        <v>0</v>
      </c>
      <c r="G187" s="56">
        <f>Fundamentare!F294</f>
        <v>0</v>
      </c>
      <c r="H187" s="56">
        <f>Fundamentare!G294</f>
        <v>0</v>
      </c>
      <c r="I187" s="56">
        <f>Fundamentare!H294</f>
        <v>0</v>
      </c>
      <c r="J187" s="56">
        <f>Fundamentare!I294</f>
        <v>0</v>
      </c>
      <c r="K187" s="56">
        <f>Fundamentare!J294</f>
        <v>0</v>
      </c>
      <c r="L187" s="56">
        <f t="shared" si="50"/>
        <v>0</v>
      </c>
    </row>
    <row r="188" spans="1:12" ht="30.75">
      <c r="A188" s="188" t="s">
        <v>94</v>
      </c>
      <c r="B188" s="191" t="s">
        <v>566</v>
      </c>
      <c r="C188" s="56">
        <f>Fundamentare!B295</f>
        <v>9.294</v>
      </c>
      <c r="D188" s="56">
        <f>Fundamentare!C295</f>
        <v>0</v>
      </c>
      <c r="E188" s="56">
        <f>Fundamentare!D295</f>
        <v>0</v>
      </c>
      <c r="F188" s="56">
        <f>Fundamentare!E295</f>
        <v>0</v>
      </c>
      <c r="G188" s="56">
        <f>Fundamentare!F295</f>
        <v>0</v>
      </c>
      <c r="H188" s="56">
        <f>Fundamentare!G295</f>
        <v>0</v>
      </c>
      <c r="I188" s="56">
        <f>Fundamentare!H295</f>
        <v>0</v>
      </c>
      <c r="J188" s="56">
        <f>Fundamentare!I295</f>
        <v>0</v>
      </c>
      <c r="K188" s="56">
        <f>Fundamentare!J295</f>
        <v>0</v>
      </c>
      <c r="L188" s="56">
        <f t="shared" si="50"/>
        <v>0</v>
      </c>
    </row>
    <row r="189" spans="1:12" ht="18">
      <c r="A189" s="187" t="s">
        <v>95</v>
      </c>
      <c r="B189" s="191" t="s">
        <v>567</v>
      </c>
      <c r="C189" s="56">
        <f>Fundamentare!B296</f>
        <v>0</v>
      </c>
      <c r="D189" s="56">
        <f>Fundamentare!C296</f>
        <v>50</v>
      </c>
      <c r="E189" s="56">
        <f>Fundamentare!D296</f>
        <v>50</v>
      </c>
      <c r="F189" s="56">
        <f>Fundamentare!E296</f>
        <v>50</v>
      </c>
      <c r="G189" s="56">
        <f>Fundamentare!F296</f>
        <v>65</v>
      </c>
      <c r="H189" s="56">
        <f>Fundamentare!G296</f>
        <v>0</v>
      </c>
      <c r="I189" s="56">
        <f>Fundamentare!H296</f>
        <v>0</v>
      </c>
      <c r="J189" s="56">
        <f>Fundamentare!I296</f>
        <v>0</v>
      </c>
      <c r="K189" s="56">
        <f>Fundamentare!J296</f>
        <v>65</v>
      </c>
      <c r="L189" s="56">
        <f t="shared" si="50"/>
        <v>0</v>
      </c>
    </row>
    <row r="190" spans="1:12" ht="18">
      <c r="A190" s="187" t="s">
        <v>96</v>
      </c>
      <c r="B190" s="191" t="s">
        <v>568</v>
      </c>
      <c r="C190" s="56">
        <f>Fundamentare!B297</f>
        <v>9.622</v>
      </c>
      <c r="D190" s="56">
        <f>Fundamentare!C297</f>
        <v>0</v>
      </c>
      <c r="E190" s="56">
        <f>Fundamentare!D297</f>
        <v>0</v>
      </c>
      <c r="F190" s="56">
        <f>Fundamentare!E297</f>
        <v>0</v>
      </c>
      <c r="G190" s="56">
        <f>Fundamentare!F297</f>
        <v>0</v>
      </c>
      <c r="H190" s="56">
        <f>Fundamentare!G297</f>
        <v>0</v>
      </c>
      <c r="I190" s="56">
        <f>Fundamentare!H297</f>
        <v>0</v>
      </c>
      <c r="J190" s="56">
        <f>Fundamentare!I297</f>
        <v>0</v>
      </c>
      <c r="K190" s="56">
        <f>Fundamentare!J297</f>
        <v>0</v>
      </c>
      <c r="L190" s="56">
        <f t="shared" si="50"/>
        <v>0</v>
      </c>
    </row>
    <row r="191" spans="1:12" ht="30.75">
      <c r="A191" s="188" t="s">
        <v>97</v>
      </c>
      <c r="B191" s="191" t="s">
        <v>569</v>
      </c>
      <c r="C191" s="56">
        <f>Fundamentare!B298</f>
        <v>0</v>
      </c>
      <c r="D191" s="56">
        <f>Fundamentare!C298</f>
        <v>0</v>
      </c>
      <c r="E191" s="56">
        <f>Fundamentare!D298</f>
        <v>0</v>
      </c>
      <c r="F191" s="56">
        <f>Fundamentare!E298</f>
        <v>0</v>
      </c>
      <c r="G191" s="56">
        <f>Fundamentare!F298</f>
        <v>0</v>
      </c>
      <c r="H191" s="56">
        <f>Fundamentare!G298</f>
        <v>0</v>
      </c>
      <c r="I191" s="56">
        <f>Fundamentare!H298</f>
        <v>0</v>
      </c>
      <c r="J191" s="56">
        <f>Fundamentare!I298</f>
        <v>0</v>
      </c>
      <c r="K191" s="56">
        <f>Fundamentare!J298</f>
        <v>0</v>
      </c>
      <c r="L191" s="56">
        <f t="shared" si="50"/>
        <v>0</v>
      </c>
    </row>
    <row r="192" spans="1:12" ht="18">
      <c r="A192" s="187" t="s">
        <v>98</v>
      </c>
      <c r="B192" s="191" t="s">
        <v>570</v>
      </c>
      <c r="C192" s="56">
        <f>Fundamentare!B299</f>
        <v>0</v>
      </c>
      <c r="D192" s="56">
        <f>Fundamentare!C299</f>
        <v>0</v>
      </c>
      <c r="E192" s="56">
        <f>Fundamentare!D299</f>
        <v>0</v>
      </c>
      <c r="F192" s="56">
        <f>Fundamentare!E299</f>
        <v>0</v>
      </c>
      <c r="G192" s="56">
        <f>Fundamentare!F299</f>
        <v>0</v>
      </c>
      <c r="H192" s="56">
        <f>Fundamentare!G299</f>
        <v>0</v>
      </c>
      <c r="I192" s="56">
        <f>Fundamentare!H299</f>
        <v>0</v>
      </c>
      <c r="J192" s="56">
        <f>Fundamentare!I299</f>
        <v>0</v>
      </c>
      <c r="K192" s="56">
        <f>Fundamentare!J299</f>
        <v>0</v>
      </c>
      <c r="L192" s="56">
        <f t="shared" si="50"/>
        <v>0</v>
      </c>
    </row>
    <row r="193" spans="1:12" ht="18">
      <c r="A193" s="187" t="s">
        <v>99</v>
      </c>
      <c r="B193" s="191" t="s">
        <v>616</v>
      </c>
      <c r="C193" s="56">
        <f>Fundamentare!B300</f>
        <v>51.942</v>
      </c>
      <c r="D193" s="56">
        <f>Fundamentare!C300</f>
        <v>0</v>
      </c>
      <c r="E193" s="56">
        <f>Fundamentare!D300</f>
        <v>100</v>
      </c>
      <c r="F193" s="56">
        <f>Fundamentare!E300</f>
        <v>100</v>
      </c>
      <c r="G193" s="56">
        <f>Fundamentare!F300</f>
        <v>200</v>
      </c>
      <c r="H193" s="56">
        <f>Fundamentare!G300</f>
        <v>0</v>
      </c>
      <c r="I193" s="56">
        <f>Fundamentare!H300</f>
        <v>0</v>
      </c>
      <c r="J193" s="56">
        <f>Fundamentare!I300</f>
        <v>0</v>
      </c>
      <c r="K193" s="56">
        <f>Fundamentare!J300</f>
        <v>200</v>
      </c>
      <c r="L193" s="56">
        <f t="shared" si="50"/>
        <v>0</v>
      </c>
    </row>
    <row r="194" spans="1:12" ht="18">
      <c r="A194" s="187" t="s">
        <v>419</v>
      </c>
      <c r="B194" s="191">
        <v>38393</v>
      </c>
      <c r="C194" s="56">
        <f aca="true" t="shared" si="55" ref="C194:K194">SUM(C195:C200)</f>
        <v>0</v>
      </c>
      <c r="D194" s="56">
        <f t="shared" si="55"/>
        <v>0</v>
      </c>
      <c r="E194" s="56">
        <f t="shared" si="55"/>
        <v>0</v>
      </c>
      <c r="F194" s="56">
        <f t="shared" si="55"/>
        <v>0</v>
      </c>
      <c r="G194" s="56">
        <f t="shared" si="55"/>
        <v>0</v>
      </c>
      <c r="H194" s="56">
        <f t="shared" si="55"/>
        <v>0</v>
      </c>
      <c r="I194" s="56">
        <f t="shared" si="55"/>
        <v>0</v>
      </c>
      <c r="J194" s="56">
        <f t="shared" si="55"/>
        <v>0</v>
      </c>
      <c r="K194" s="56">
        <f t="shared" si="55"/>
        <v>0</v>
      </c>
      <c r="L194" s="56">
        <f t="shared" si="50"/>
        <v>0</v>
      </c>
    </row>
    <row r="195" spans="1:12" ht="18">
      <c r="A195" s="187" t="s">
        <v>101</v>
      </c>
      <c r="B195" s="191" t="s">
        <v>617</v>
      </c>
      <c r="C195" s="56">
        <f>Fundamentare!B302</f>
        <v>0</v>
      </c>
      <c r="D195" s="56">
        <f>Fundamentare!C302</f>
        <v>0</v>
      </c>
      <c r="E195" s="56">
        <f>Fundamentare!D302</f>
        <v>0</v>
      </c>
      <c r="F195" s="56">
        <f>Fundamentare!E302</f>
        <v>0</v>
      </c>
      <c r="G195" s="56">
        <f>Fundamentare!F302</f>
        <v>0</v>
      </c>
      <c r="H195" s="56">
        <f>Fundamentare!G302</f>
        <v>0</v>
      </c>
      <c r="I195" s="56">
        <f>Fundamentare!H302</f>
        <v>0</v>
      </c>
      <c r="J195" s="56">
        <f>Fundamentare!I302</f>
        <v>0</v>
      </c>
      <c r="K195" s="56">
        <f>Fundamentare!J302</f>
        <v>0</v>
      </c>
      <c r="L195" s="56">
        <f t="shared" si="50"/>
        <v>0</v>
      </c>
    </row>
    <row r="196" spans="1:12" ht="18">
      <c r="A196" s="187" t="s">
        <v>102</v>
      </c>
      <c r="B196" s="191" t="s">
        <v>618</v>
      </c>
      <c r="C196" s="56">
        <f>Fundamentare!B303</f>
        <v>0</v>
      </c>
      <c r="D196" s="56">
        <f>Fundamentare!C303</f>
        <v>0</v>
      </c>
      <c r="E196" s="56">
        <f>Fundamentare!D303</f>
        <v>0</v>
      </c>
      <c r="F196" s="56">
        <f>Fundamentare!E303</f>
        <v>0</v>
      </c>
      <c r="G196" s="56">
        <f>Fundamentare!F303</f>
        <v>0</v>
      </c>
      <c r="H196" s="56">
        <f>Fundamentare!G303</f>
        <v>0</v>
      </c>
      <c r="I196" s="56">
        <f>Fundamentare!H303</f>
        <v>0</v>
      </c>
      <c r="J196" s="56">
        <f>Fundamentare!I303</f>
        <v>0</v>
      </c>
      <c r="K196" s="56">
        <f>Fundamentare!J303</f>
        <v>0</v>
      </c>
      <c r="L196" s="56">
        <f t="shared" si="50"/>
        <v>0</v>
      </c>
    </row>
    <row r="197" spans="1:12" ht="30.75">
      <c r="A197" s="188" t="s">
        <v>103</v>
      </c>
      <c r="B197" s="191" t="s">
        <v>619</v>
      </c>
      <c r="C197" s="56">
        <f>Fundamentare!B304</f>
        <v>0</v>
      </c>
      <c r="D197" s="56">
        <f>Fundamentare!C304</f>
        <v>0</v>
      </c>
      <c r="E197" s="56">
        <f>Fundamentare!D304</f>
        <v>0</v>
      </c>
      <c r="F197" s="56">
        <f>Fundamentare!E304</f>
        <v>0</v>
      </c>
      <c r="G197" s="56">
        <f>Fundamentare!F304</f>
        <v>0</v>
      </c>
      <c r="H197" s="56">
        <f>Fundamentare!G304</f>
        <v>0</v>
      </c>
      <c r="I197" s="56">
        <f>Fundamentare!H304</f>
        <v>0</v>
      </c>
      <c r="J197" s="56">
        <f>Fundamentare!I304</f>
        <v>0</v>
      </c>
      <c r="K197" s="56">
        <f>Fundamentare!J304</f>
        <v>0</v>
      </c>
      <c r="L197" s="56">
        <f t="shared" si="50"/>
        <v>0</v>
      </c>
    </row>
    <row r="198" spans="1:12" ht="30.75">
      <c r="A198" s="188" t="s">
        <v>104</v>
      </c>
      <c r="B198" s="191" t="s">
        <v>620</v>
      </c>
      <c r="C198" s="56">
        <f>Fundamentare!B305</f>
        <v>0</v>
      </c>
      <c r="D198" s="56">
        <f>Fundamentare!C305</f>
        <v>0</v>
      </c>
      <c r="E198" s="56">
        <f>Fundamentare!D305</f>
        <v>0</v>
      </c>
      <c r="F198" s="56">
        <f>Fundamentare!E305</f>
        <v>0</v>
      </c>
      <c r="G198" s="56">
        <f>Fundamentare!F305</f>
        <v>0</v>
      </c>
      <c r="H198" s="56">
        <f>Fundamentare!G305</f>
        <v>0</v>
      </c>
      <c r="I198" s="56">
        <f>Fundamentare!H305</f>
        <v>0</v>
      </c>
      <c r="J198" s="56">
        <f>Fundamentare!I305</f>
        <v>0</v>
      </c>
      <c r="K198" s="56">
        <f>Fundamentare!J305</f>
        <v>0</v>
      </c>
      <c r="L198" s="56">
        <f t="shared" si="50"/>
        <v>0</v>
      </c>
    </row>
    <row r="199" spans="1:12" ht="30.75">
      <c r="A199" s="188" t="s">
        <v>105</v>
      </c>
      <c r="B199" s="191" t="s">
        <v>621</v>
      </c>
      <c r="C199" s="56">
        <f>Fundamentare!B306</f>
        <v>0</v>
      </c>
      <c r="D199" s="56">
        <f>Fundamentare!C306</f>
        <v>0</v>
      </c>
      <c r="E199" s="56">
        <f>Fundamentare!D306</f>
        <v>0</v>
      </c>
      <c r="F199" s="56">
        <f>Fundamentare!E306</f>
        <v>0</v>
      </c>
      <c r="G199" s="56">
        <f>Fundamentare!F306</f>
        <v>0</v>
      </c>
      <c r="H199" s="56">
        <f>Fundamentare!G306</f>
        <v>0</v>
      </c>
      <c r="I199" s="56">
        <f>Fundamentare!H306</f>
        <v>0</v>
      </c>
      <c r="J199" s="56">
        <f>Fundamentare!I306</f>
        <v>0</v>
      </c>
      <c r="K199" s="56">
        <f>Fundamentare!J306</f>
        <v>0</v>
      </c>
      <c r="L199" s="56">
        <f t="shared" si="50"/>
        <v>0</v>
      </c>
    </row>
    <row r="200" spans="1:12" ht="18">
      <c r="A200" s="187" t="s">
        <v>106</v>
      </c>
      <c r="B200" s="191" t="s">
        <v>681</v>
      </c>
      <c r="C200" s="56">
        <f>Fundamentare!B307</f>
        <v>0</v>
      </c>
      <c r="D200" s="56">
        <f>Fundamentare!C307</f>
        <v>0</v>
      </c>
      <c r="E200" s="56">
        <f>Fundamentare!D307</f>
        <v>0</v>
      </c>
      <c r="F200" s="56">
        <f>Fundamentare!E307</f>
        <v>0</v>
      </c>
      <c r="G200" s="56">
        <f>Fundamentare!F307</f>
        <v>0</v>
      </c>
      <c r="H200" s="56">
        <f>Fundamentare!G307</f>
        <v>0</v>
      </c>
      <c r="I200" s="56">
        <f>Fundamentare!H307</f>
        <v>0</v>
      </c>
      <c r="J200" s="56">
        <f>Fundamentare!I307</f>
        <v>0</v>
      </c>
      <c r="K200" s="56">
        <f>Fundamentare!J307</f>
        <v>0</v>
      </c>
      <c r="L200" s="56">
        <f t="shared" si="50"/>
        <v>0</v>
      </c>
    </row>
    <row r="201" spans="1:12" ht="18">
      <c r="A201" s="193" t="s">
        <v>427</v>
      </c>
      <c r="B201" s="191">
        <v>38421</v>
      </c>
      <c r="C201" s="56">
        <f aca="true" t="shared" si="56" ref="C201:K201">SUM(C202:C206)</f>
        <v>499.429</v>
      </c>
      <c r="D201" s="56">
        <f t="shared" si="56"/>
        <v>741</v>
      </c>
      <c r="E201" s="56">
        <f t="shared" si="56"/>
        <v>910</v>
      </c>
      <c r="F201" s="56">
        <f t="shared" si="56"/>
        <v>910</v>
      </c>
      <c r="G201" s="56">
        <f t="shared" si="56"/>
        <v>1060</v>
      </c>
      <c r="H201" s="56">
        <f t="shared" si="56"/>
        <v>0</v>
      </c>
      <c r="I201" s="56">
        <f t="shared" si="56"/>
        <v>0</v>
      </c>
      <c r="J201" s="56">
        <f t="shared" si="56"/>
        <v>0</v>
      </c>
      <c r="K201" s="56">
        <f t="shared" si="56"/>
        <v>1060</v>
      </c>
      <c r="L201" s="56">
        <f t="shared" si="50"/>
        <v>0</v>
      </c>
    </row>
    <row r="202" spans="1:12" ht="18">
      <c r="A202" s="193" t="s">
        <v>428</v>
      </c>
      <c r="B202" s="148" t="s">
        <v>623</v>
      </c>
      <c r="C202" s="57">
        <f>Fundamentare!B309</f>
        <v>336.815</v>
      </c>
      <c r="D202" s="57">
        <f>Fundamentare!C309</f>
        <v>498</v>
      </c>
      <c r="E202" s="57">
        <f>Fundamentare!D309</f>
        <v>582</v>
      </c>
      <c r="F202" s="57">
        <f>Fundamentare!E309</f>
        <v>582</v>
      </c>
      <c r="G202" s="57">
        <f>Fundamentare!F309</f>
        <v>708</v>
      </c>
      <c r="H202" s="57">
        <f>Fundamentare!G309</f>
        <v>0</v>
      </c>
      <c r="I202" s="57">
        <f>Fundamentare!H309</f>
        <v>0</v>
      </c>
      <c r="J202" s="57">
        <f>Fundamentare!I309</f>
        <v>0</v>
      </c>
      <c r="K202" s="57">
        <f>Fundamentare!J309</f>
        <v>708</v>
      </c>
      <c r="L202" s="56">
        <f t="shared" si="50"/>
        <v>0</v>
      </c>
    </row>
    <row r="203" spans="1:12" ht="18">
      <c r="A203" s="21" t="s">
        <v>429</v>
      </c>
      <c r="B203" s="148" t="s">
        <v>624</v>
      </c>
      <c r="C203" s="56">
        <f>Fundamentare!B310</f>
        <v>46.258</v>
      </c>
      <c r="D203" s="56">
        <f>Fundamentare!C310</f>
        <v>61</v>
      </c>
      <c r="E203" s="56">
        <f>Fundamentare!D310</f>
        <v>77</v>
      </c>
      <c r="F203" s="56">
        <f>Fundamentare!E310</f>
        <v>77</v>
      </c>
      <c r="G203" s="56">
        <f>Fundamentare!F310</f>
        <v>93</v>
      </c>
      <c r="H203" s="56">
        <f>Fundamentare!G310</f>
        <v>0</v>
      </c>
      <c r="I203" s="56">
        <f>Fundamentare!H310</f>
        <v>0</v>
      </c>
      <c r="J203" s="56">
        <f>Fundamentare!I310</f>
        <v>0</v>
      </c>
      <c r="K203" s="56">
        <f>Fundamentare!J310</f>
        <v>93</v>
      </c>
      <c r="L203" s="56">
        <f t="shared" si="50"/>
        <v>0</v>
      </c>
    </row>
    <row r="204" spans="1:12" ht="30.75">
      <c r="A204" s="21" t="s">
        <v>430</v>
      </c>
      <c r="B204" s="148" t="s">
        <v>625</v>
      </c>
      <c r="C204" s="56">
        <f>Fundamentare!B311</f>
        <v>108.891</v>
      </c>
      <c r="D204" s="56">
        <f>Fundamentare!C311</f>
        <v>170</v>
      </c>
      <c r="E204" s="56">
        <f>Fundamentare!D311</f>
        <v>214</v>
      </c>
      <c r="F204" s="56">
        <f>Fundamentare!E311</f>
        <v>214</v>
      </c>
      <c r="G204" s="56">
        <f>Fundamentare!F311</f>
        <v>223</v>
      </c>
      <c r="H204" s="56">
        <f>Fundamentare!G311</f>
        <v>0</v>
      </c>
      <c r="I204" s="56">
        <f>Fundamentare!H311</f>
        <v>0</v>
      </c>
      <c r="J204" s="56">
        <f>Fundamentare!I311</f>
        <v>0</v>
      </c>
      <c r="K204" s="56">
        <f>Fundamentare!J311</f>
        <v>223</v>
      </c>
      <c r="L204" s="56">
        <f t="shared" si="50"/>
        <v>0</v>
      </c>
    </row>
    <row r="205" spans="1:12" ht="45.75">
      <c r="A205" s="21" t="s">
        <v>431</v>
      </c>
      <c r="B205" s="148" t="s">
        <v>626</v>
      </c>
      <c r="C205" s="56">
        <f>Fundamentare!B312</f>
        <v>7.465</v>
      </c>
      <c r="D205" s="56">
        <f>Fundamentare!C312</f>
        <v>12</v>
      </c>
      <c r="E205" s="56">
        <f>Fundamentare!D312</f>
        <v>15</v>
      </c>
      <c r="F205" s="56">
        <f>Fundamentare!E312</f>
        <v>15</v>
      </c>
      <c r="G205" s="56">
        <f>Fundamentare!F312</f>
        <v>10</v>
      </c>
      <c r="H205" s="56">
        <f>Fundamentare!G312</f>
        <v>0</v>
      </c>
      <c r="I205" s="56">
        <f>Fundamentare!H312</f>
        <v>0</v>
      </c>
      <c r="J205" s="56">
        <f>Fundamentare!I312</f>
        <v>0</v>
      </c>
      <c r="K205" s="56">
        <f>Fundamentare!J312</f>
        <v>10</v>
      </c>
      <c r="L205" s="56">
        <f t="shared" si="50"/>
        <v>0</v>
      </c>
    </row>
    <row r="206" spans="1:12" ht="30.75">
      <c r="A206" s="21" t="s">
        <v>432</v>
      </c>
      <c r="B206" s="148" t="s">
        <v>627</v>
      </c>
      <c r="C206" s="56">
        <f>Fundamentare!B313</f>
        <v>0</v>
      </c>
      <c r="D206" s="56">
        <f>Fundamentare!C313</f>
        <v>0</v>
      </c>
      <c r="E206" s="56">
        <f>Fundamentare!D313</f>
        <v>22</v>
      </c>
      <c r="F206" s="56">
        <f>Fundamentare!E313</f>
        <v>22</v>
      </c>
      <c r="G206" s="56">
        <f>Fundamentare!F313</f>
        <v>26</v>
      </c>
      <c r="H206" s="56">
        <f>Fundamentare!G313</f>
        <v>0</v>
      </c>
      <c r="I206" s="56">
        <f>Fundamentare!H313</f>
        <v>0</v>
      </c>
      <c r="J206" s="56">
        <f>Fundamentare!I313</f>
        <v>0</v>
      </c>
      <c r="K206" s="56">
        <f>Fundamentare!J313</f>
        <v>26</v>
      </c>
      <c r="L206" s="56">
        <f t="shared" si="50"/>
        <v>0</v>
      </c>
    </row>
    <row r="207" spans="1:12" ht="18">
      <c r="A207" s="21"/>
      <c r="B207" s="148"/>
      <c r="C207" s="56">
        <f>Fundamentare!B260</f>
        <v>0</v>
      </c>
      <c r="D207" s="56">
        <f>Fundamentare!C260</f>
        <v>0</v>
      </c>
      <c r="E207" s="56">
        <f>Fundamentare!D260</f>
        <v>0</v>
      </c>
      <c r="F207" s="56">
        <f>Fundamentare!E260</f>
        <v>0</v>
      </c>
      <c r="G207" s="56">
        <f>Fundamentare!F260</f>
        <v>0</v>
      </c>
      <c r="H207" s="56">
        <f>Fundamentare!G260</f>
        <v>0</v>
      </c>
      <c r="I207" s="56">
        <f>Fundamentare!H260</f>
        <v>0</v>
      </c>
      <c r="J207" s="56">
        <f>Fundamentare!I260</f>
        <v>0</v>
      </c>
      <c r="K207" s="56">
        <f>Fundamentare!J260</f>
        <v>0</v>
      </c>
      <c r="L207" s="56">
        <f t="shared" si="50"/>
        <v>0</v>
      </c>
    </row>
    <row r="208" spans="1:12" ht="18">
      <c r="A208" s="182" t="s">
        <v>341</v>
      </c>
      <c r="B208" s="184" t="s">
        <v>628</v>
      </c>
      <c r="C208" s="56">
        <f>C209+C220+C222+C225+C226+C227+C228+C229+C231</f>
        <v>571.969</v>
      </c>
      <c r="D208" s="56">
        <f>D209+D220+D222+D225+D226+D227+D228+D229+D231</f>
        <v>4264</v>
      </c>
      <c r="E208" s="56">
        <f>E209+E220+E222+E225+E226+E227+E228+E229+E231</f>
        <v>4264</v>
      </c>
      <c r="F208" s="56">
        <f>F209+F220+F222+F225+F226+F227+F228+F229+F231</f>
        <v>4264</v>
      </c>
      <c r="G208" s="56">
        <f>G209+G220+G222+G225+G226+G227+G228+G229+G231</f>
        <v>4456</v>
      </c>
      <c r="H208" s="56">
        <f>Fundamentare!G315</f>
        <v>4616.416</v>
      </c>
      <c r="I208" s="56">
        <f>Fundamentare!H315</f>
        <v>4754.90848</v>
      </c>
      <c r="J208" s="56">
        <f>Fundamentare!I315</f>
        <v>4882.791008960001</v>
      </c>
      <c r="K208" s="56">
        <f>K209+K220+K222+K225+K226+K227+K228+K229+K231</f>
        <v>4456</v>
      </c>
      <c r="L208" s="56">
        <f t="shared" si="50"/>
        <v>0</v>
      </c>
    </row>
    <row r="209" spans="1:12" ht="18">
      <c r="A209" s="180" t="s">
        <v>433</v>
      </c>
      <c r="B209" s="191">
        <v>38372</v>
      </c>
      <c r="C209" s="56">
        <f aca="true" t="shared" si="57" ref="C209:K209">SUM(C210:C219)</f>
        <v>488</v>
      </c>
      <c r="D209" s="56">
        <f t="shared" si="57"/>
        <v>3053</v>
      </c>
      <c r="E209" s="56">
        <f t="shared" si="57"/>
        <v>3053</v>
      </c>
      <c r="F209" s="56">
        <f t="shared" si="57"/>
        <v>3053</v>
      </c>
      <c r="G209" s="56">
        <f t="shared" si="57"/>
        <v>3163</v>
      </c>
      <c r="H209" s="56">
        <f t="shared" si="57"/>
        <v>0</v>
      </c>
      <c r="I209" s="56">
        <f t="shared" si="57"/>
        <v>0</v>
      </c>
      <c r="J209" s="56">
        <f t="shared" si="57"/>
        <v>0</v>
      </c>
      <c r="K209" s="56">
        <f t="shared" si="57"/>
        <v>3163</v>
      </c>
      <c r="L209" s="56">
        <f t="shared" si="50"/>
        <v>0</v>
      </c>
    </row>
    <row r="210" spans="1:12" ht="18">
      <c r="A210" s="180" t="s">
        <v>343</v>
      </c>
      <c r="B210" s="191" t="s">
        <v>629</v>
      </c>
      <c r="C210" s="57">
        <f>Fundamentare!B318</f>
        <v>100</v>
      </c>
      <c r="D210" s="57">
        <f>Fundamentare!C318</f>
        <v>105</v>
      </c>
      <c r="E210" s="57">
        <f>Fundamentare!D318</f>
        <v>105</v>
      </c>
      <c r="F210" s="57">
        <f>Fundamentare!E318</f>
        <v>105</v>
      </c>
      <c r="G210" s="57">
        <f>Fundamentare!F318</f>
        <v>110</v>
      </c>
      <c r="H210" s="57">
        <f>Fundamentare!G318</f>
        <v>0</v>
      </c>
      <c r="I210" s="57">
        <f>Fundamentare!H318</f>
        <v>0</v>
      </c>
      <c r="J210" s="57">
        <f>Fundamentare!I318</f>
        <v>0</v>
      </c>
      <c r="K210" s="57">
        <f>Fundamentare!J318</f>
        <v>110</v>
      </c>
      <c r="L210" s="56">
        <f t="shared" si="50"/>
        <v>0</v>
      </c>
    </row>
    <row r="211" spans="1:12" ht="18">
      <c r="A211" s="180" t="s">
        <v>344</v>
      </c>
      <c r="B211" s="191" t="s">
        <v>630</v>
      </c>
      <c r="C211" s="56">
        <f>Fundamentare!B319</f>
        <v>0</v>
      </c>
      <c r="D211" s="56">
        <f>Fundamentare!C319</f>
        <v>42</v>
      </c>
      <c r="E211" s="56">
        <f>Fundamentare!D319</f>
        <v>42</v>
      </c>
      <c r="F211" s="56">
        <f>Fundamentare!E319</f>
        <v>42</v>
      </c>
      <c r="G211" s="56">
        <f>Fundamentare!F319</f>
        <v>44</v>
      </c>
      <c r="H211" s="56">
        <f>Fundamentare!G319</f>
        <v>0</v>
      </c>
      <c r="I211" s="56">
        <f>Fundamentare!H319</f>
        <v>0</v>
      </c>
      <c r="J211" s="56">
        <f>Fundamentare!I319</f>
        <v>0</v>
      </c>
      <c r="K211" s="56">
        <f>Fundamentare!J319</f>
        <v>44</v>
      </c>
      <c r="L211" s="56">
        <f t="shared" si="50"/>
        <v>0</v>
      </c>
    </row>
    <row r="212" spans="1:12" ht="30.75">
      <c r="A212" s="186" t="s">
        <v>434</v>
      </c>
      <c r="B212" s="191" t="s">
        <v>631</v>
      </c>
      <c r="C212" s="56">
        <f>Fundamentare!B320</f>
        <v>300</v>
      </c>
      <c r="D212" s="56">
        <f>Fundamentare!C320</f>
        <v>313</v>
      </c>
      <c r="E212" s="56">
        <f>Fundamentare!D320</f>
        <v>313</v>
      </c>
      <c r="F212" s="56">
        <f>Fundamentare!E320</f>
        <v>313</v>
      </c>
      <c r="G212" s="56">
        <f>Fundamentare!F320</f>
        <v>327</v>
      </c>
      <c r="H212" s="56">
        <f>Fundamentare!G320</f>
        <v>0</v>
      </c>
      <c r="I212" s="56">
        <f>Fundamentare!H320</f>
        <v>0</v>
      </c>
      <c r="J212" s="56">
        <f>Fundamentare!I320</f>
        <v>0</v>
      </c>
      <c r="K212" s="56">
        <f>Fundamentare!J320</f>
        <v>327</v>
      </c>
      <c r="L212" s="56">
        <f t="shared" si="50"/>
        <v>0</v>
      </c>
    </row>
    <row r="213" spans="1:12" ht="18">
      <c r="A213" s="180" t="s">
        <v>347</v>
      </c>
      <c r="B213" s="191" t="s">
        <v>632</v>
      </c>
      <c r="C213" s="56">
        <f>Fundamentare!B321</f>
        <v>7</v>
      </c>
      <c r="D213" s="56">
        <f>Fundamentare!C321</f>
        <v>104</v>
      </c>
      <c r="E213" s="56">
        <f>Fundamentare!D321</f>
        <v>104</v>
      </c>
      <c r="F213" s="56">
        <f>Fundamentare!E321</f>
        <v>104</v>
      </c>
      <c r="G213" s="56">
        <f>Fundamentare!F321</f>
        <v>109</v>
      </c>
      <c r="H213" s="56">
        <f>Fundamentare!G321</f>
        <v>0</v>
      </c>
      <c r="I213" s="56">
        <f>Fundamentare!H321</f>
        <v>0</v>
      </c>
      <c r="J213" s="56">
        <f>Fundamentare!I321</f>
        <v>0</v>
      </c>
      <c r="K213" s="56">
        <f>Fundamentare!J321</f>
        <v>109</v>
      </c>
      <c r="L213" s="56">
        <f t="shared" si="50"/>
        <v>0</v>
      </c>
    </row>
    <row r="214" spans="1:12" ht="18">
      <c r="A214" s="180" t="s">
        <v>348</v>
      </c>
      <c r="B214" s="191" t="s">
        <v>633</v>
      </c>
      <c r="C214" s="56">
        <f>Fundamentare!B322</f>
        <v>14</v>
      </c>
      <c r="D214" s="56">
        <f>Fundamentare!C322</f>
        <v>417</v>
      </c>
      <c r="E214" s="56">
        <f>Fundamentare!D322</f>
        <v>417</v>
      </c>
      <c r="F214" s="56">
        <f>Fundamentare!E322</f>
        <v>417</v>
      </c>
      <c r="G214" s="56">
        <f>Fundamentare!F322</f>
        <v>436</v>
      </c>
      <c r="H214" s="56">
        <f>Fundamentare!G322</f>
        <v>0</v>
      </c>
      <c r="I214" s="56">
        <f>Fundamentare!H322</f>
        <v>0</v>
      </c>
      <c r="J214" s="56">
        <f>Fundamentare!I322</f>
        <v>0</v>
      </c>
      <c r="K214" s="56">
        <f>Fundamentare!J322</f>
        <v>436</v>
      </c>
      <c r="L214" s="56">
        <f t="shared" si="50"/>
        <v>0</v>
      </c>
    </row>
    <row r="215" spans="1:12" ht="18">
      <c r="A215" s="180" t="s">
        <v>349</v>
      </c>
      <c r="B215" s="191" t="s">
        <v>634</v>
      </c>
      <c r="C215" s="56">
        <f>Fundamentare!B323</f>
        <v>0</v>
      </c>
      <c r="D215" s="56">
        <f>Fundamentare!C323</f>
        <v>63</v>
      </c>
      <c r="E215" s="56">
        <f>Fundamentare!D323</f>
        <v>63</v>
      </c>
      <c r="F215" s="56">
        <f>Fundamentare!E323</f>
        <v>63</v>
      </c>
      <c r="G215" s="56">
        <f>Fundamentare!F323</f>
        <v>66</v>
      </c>
      <c r="H215" s="56">
        <f>Fundamentare!G323</f>
        <v>0</v>
      </c>
      <c r="I215" s="56">
        <f>Fundamentare!H323</f>
        <v>0</v>
      </c>
      <c r="J215" s="56">
        <f>Fundamentare!I323</f>
        <v>0</v>
      </c>
      <c r="K215" s="56">
        <f>Fundamentare!J323</f>
        <v>66</v>
      </c>
      <c r="L215" s="56">
        <f t="shared" si="50"/>
        <v>0</v>
      </c>
    </row>
    <row r="216" spans="1:12" ht="18">
      <c r="A216" s="180" t="s">
        <v>350</v>
      </c>
      <c r="B216" s="191" t="s">
        <v>635</v>
      </c>
      <c r="C216" s="56">
        <f>Fundamentare!B324</f>
        <v>0</v>
      </c>
      <c r="D216" s="56">
        <f>Fundamentare!C324</f>
        <v>7</v>
      </c>
      <c r="E216" s="56">
        <f>Fundamentare!D324</f>
        <v>7</v>
      </c>
      <c r="F216" s="56">
        <f>Fundamentare!E324</f>
        <v>7</v>
      </c>
      <c r="G216" s="56">
        <f>Fundamentare!F324</f>
        <v>7</v>
      </c>
      <c r="H216" s="56">
        <f>Fundamentare!G324</f>
        <v>0</v>
      </c>
      <c r="I216" s="56">
        <f>Fundamentare!H324</f>
        <v>0</v>
      </c>
      <c r="J216" s="56">
        <f>Fundamentare!I324</f>
        <v>0</v>
      </c>
      <c r="K216" s="56">
        <f>Fundamentare!J324</f>
        <v>7</v>
      </c>
      <c r="L216" s="56">
        <f t="shared" si="50"/>
        <v>0</v>
      </c>
    </row>
    <row r="217" spans="1:12" ht="30.75">
      <c r="A217" s="21" t="s">
        <v>435</v>
      </c>
      <c r="B217" s="148" t="s">
        <v>636</v>
      </c>
      <c r="C217" s="56">
        <f>Fundamentare!B325</f>
        <v>0</v>
      </c>
      <c r="D217" s="56">
        <f>Fundamentare!C325</f>
        <v>835</v>
      </c>
      <c r="E217" s="56">
        <f>Fundamentare!D325</f>
        <v>835</v>
      </c>
      <c r="F217" s="56">
        <f>Fundamentare!E325</f>
        <v>835</v>
      </c>
      <c r="G217" s="56">
        <f>Fundamentare!F325</f>
        <v>873</v>
      </c>
      <c r="H217" s="56">
        <f>Fundamentare!G325</f>
        <v>0</v>
      </c>
      <c r="I217" s="56">
        <f>Fundamentare!H325</f>
        <v>0</v>
      </c>
      <c r="J217" s="56">
        <f>Fundamentare!I325</f>
        <v>0</v>
      </c>
      <c r="K217" s="56">
        <f>Fundamentare!J325</f>
        <v>873</v>
      </c>
      <c r="L217" s="56">
        <f t="shared" si="50"/>
        <v>0</v>
      </c>
    </row>
    <row r="218" spans="1:12" ht="30.75">
      <c r="A218" s="186" t="s">
        <v>355</v>
      </c>
      <c r="B218" s="191" t="s">
        <v>637</v>
      </c>
      <c r="C218" s="56">
        <f>Fundamentare!B326</f>
        <v>37</v>
      </c>
      <c r="D218" s="56">
        <f>Fundamentare!C326</f>
        <v>35</v>
      </c>
      <c r="E218" s="56">
        <f>Fundamentare!D326</f>
        <v>35</v>
      </c>
      <c r="F218" s="56">
        <f>Fundamentare!E326</f>
        <v>35</v>
      </c>
      <c r="G218" s="56">
        <f>Fundamentare!F326</f>
        <v>37</v>
      </c>
      <c r="H218" s="56">
        <f>Fundamentare!G326</f>
        <v>0</v>
      </c>
      <c r="I218" s="56">
        <f>Fundamentare!H326</f>
        <v>0</v>
      </c>
      <c r="J218" s="56">
        <f>Fundamentare!I326</f>
        <v>0</v>
      </c>
      <c r="K218" s="56">
        <f>Fundamentare!J326</f>
        <v>37</v>
      </c>
      <c r="L218" s="56">
        <f t="shared" si="50"/>
        <v>0</v>
      </c>
    </row>
    <row r="219" spans="1:12" ht="30.75">
      <c r="A219" s="186" t="s">
        <v>356</v>
      </c>
      <c r="B219" s="191" t="s">
        <v>638</v>
      </c>
      <c r="C219" s="56">
        <f>Fundamentare!B327</f>
        <v>30</v>
      </c>
      <c r="D219" s="56">
        <f>Fundamentare!C327</f>
        <v>1132</v>
      </c>
      <c r="E219" s="56">
        <f>Fundamentare!D327</f>
        <v>1132</v>
      </c>
      <c r="F219" s="56">
        <f>Fundamentare!E327</f>
        <v>1132</v>
      </c>
      <c r="G219" s="56">
        <f>Fundamentare!F327</f>
        <v>1154</v>
      </c>
      <c r="H219" s="56">
        <f>Fundamentare!G327</f>
        <v>0</v>
      </c>
      <c r="I219" s="56">
        <f>Fundamentare!H327</f>
        <v>0</v>
      </c>
      <c r="J219" s="56">
        <f>Fundamentare!I327</f>
        <v>0</v>
      </c>
      <c r="K219" s="56">
        <f>Fundamentare!J327</f>
        <v>1154</v>
      </c>
      <c r="L219" s="56">
        <f t="shared" si="50"/>
        <v>0</v>
      </c>
    </row>
    <row r="220" spans="1:12" ht="30.75">
      <c r="A220" s="21" t="s">
        <v>436</v>
      </c>
      <c r="B220" s="191">
        <v>38492</v>
      </c>
      <c r="C220" s="56">
        <f aca="true" t="shared" si="58" ref="C220:K220">C221</f>
        <v>26</v>
      </c>
      <c r="D220" s="56">
        <f t="shared" si="58"/>
        <v>290</v>
      </c>
      <c r="E220" s="56">
        <f t="shared" si="58"/>
        <v>290</v>
      </c>
      <c r="F220" s="56">
        <f t="shared" si="58"/>
        <v>290</v>
      </c>
      <c r="G220" s="56">
        <f t="shared" si="58"/>
        <v>303</v>
      </c>
      <c r="H220" s="56">
        <f t="shared" si="58"/>
        <v>0</v>
      </c>
      <c r="I220" s="56">
        <f t="shared" si="58"/>
        <v>0</v>
      </c>
      <c r="J220" s="56">
        <f t="shared" si="58"/>
        <v>0</v>
      </c>
      <c r="K220" s="56">
        <f t="shared" si="58"/>
        <v>303</v>
      </c>
      <c r="L220" s="56">
        <f t="shared" si="50"/>
        <v>0</v>
      </c>
    </row>
    <row r="221" spans="1:12" ht="18">
      <c r="A221" s="193" t="s">
        <v>364</v>
      </c>
      <c r="B221" s="191" t="s">
        <v>643</v>
      </c>
      <c r="C221" s="56">
        <f>Fundamentare!B329</f>
        <v>26</v>
      </c>
      <c r="D221" s="56">
        <f>Fundamentare!C329</f>
        <v>290</v>
      </c>
      <c r="E221" s="56">
        <f>Fundamentare!D329</f>
        <v>290</v>
      </c>
      <c r="F221" s="56">
        <f>Fundamentare!E329</f>
        <v>290</v>
      </c>
      <c r="G221" s="56">
        <f>Fundamentare!F329</f>
        <v>303</v>
      </c>
      <c r="H221" s="56">
        <f>Fundamentare!G329</f>
        <v>0</v>
      </c>
      <c r="I221" s="56">
        <f>Fundamentare!H329</f>
        <v>0</v>
      </c>
      <c r="J221" s="56">
        <f>Fundamentare!I329</f>
        <v>0</v>
      </c>
      <c r="K221" s="56">
        <f>Fundamentare!J329</f>
        <v>303</v>
      </c>
      <c r="L221" s="56">
        <f t="shared" si="50"/>
        <v>0</v>
      </c>
    </row>
    <row r="222" spans="1:12" ht="18">
      <c r="A222" s="193" t="s">
        <v>437</v>
      </c>
      <c r="B222" s="191">
        <v>38523</v>
      </c>
      <c r="C222" s="56">
        <f aca="true" t="shared" si="59" ref="C222:K222">C223+C224</f>
        <v>10</v>
      </c>
      <c r="D222" s="56">
        <f t="shared" si="59"/>
        <v>41</v>
      </c>
      <c r="E222" s="56">
        <f t="shared" si="59"/>
        <v>41</v>
      </c>
      <c r="F222" s="56">
        <f t="shared" si="59"/>
        <v>41</v>
      </c>
      <c r="G222" s="56">
        <f t="shared" si="59"/>
        <v>43</v>
      </c>
      <c r="H222" s="56">
        <f t="shared" si="59"/>
        <v>0</v>
      </c>
      <c r="I222" s="56">
        <f t="shared" si="59"/>
        <v>0</v>
      </c>
      <c r="J222" s="56">
        <f t="shared" si="59"/>
        <v>0</v>
      </c>
      <c r="K222" s="56">
        <f t="shared" si="59"/>
        <v>43</v>
      </c>
      <c r="L222" s="56">
        <f t="shared" si="50"/>
        <v>0</v>
      </c>
    </row>
    <row r="223" spans="1:12" ht="30.75">
      <c r="A223" s="21" t="s">
        <v>366</v>
      </c>
      <c r="B223" s="191" t="s">
        <v>644</v>
      </c>
      <c r="C223" s="56">
        <f>Fundamentare!B333</f>
        <v>9</v>
      </c>
      <c r="D223" s="56">
        <f>Fundamentare!C333</f>
        <v>29</v>
      </c>
      <c r="E223" s="56">
        <f>Fundamentare!D333</f>
        <v>29</v>
      </c>
      <c r="F223" s="56">
        <f>Fundamentare!E333</f>
        <v>29</v>
      </c>
      <c r="G223" s="56">
        <f>Fundamentare!F333</f>
        <v>30</v>
      </c>
      <c r="H223" s="56">
        <f>Fundamentare!G333</f>
        <v>0</v>
      </c>
      <c r="I223" s="56">
        <f>Fundamentare!H333</f>
        <v>0</v>
      </c>
      <c r="J223" s="56">
        <f>Fundamentare!I333</f>
        <v>0</v>
      </c>
      <c r="K223" s="56">
        <f>Fundamentare!J333</f>
        <v>30</v>
      </c>
      <c r="L223" s="56">
        <f t="shared" si="50"/>
        <v>0</v>
      </c>
    </row>
    <row r="224" spans="1:12" ht="18">
      <c r="A224" s="193" t="s">
        <v>438</v>
      </c>
      <c r="B224" s="191" t="s">
        <v>645</v>
      </c>
      <c r="C224" s="56">
        <f>Fundamentare!B334</f>
        <v>1</v>
      </c>
      <c r="D224" s="56">
        <f>Fundamentare!C334</f>
        <v>12</v>
      </c>
      <c r="E224" s="56">
        <f>Fundamentare!D334</f>
        <v>12</v>
      </c>
      <c r="F224" s="56">
        <f>Fundamentare!E334</f>
        <v>12</v>
      </c>
      <c r="G224" s="56">
        <f>Fundamentare!F334</f>
        <v>13</v>
      </c>
      <c r="H224" s="56">
        <f>Fundamentare!G334</f>
        <v>0</v>
      </c>
      <c r="I224" s="56">
        <f>Fundamentare!H334</f>
        <v>0</v>
      </c>
      <c r="J224" s="56">
        <f>Fundamentare!I334</f>
        <v>0</v>
      </c>
      <c r="K224" s="56">
        <f>Fundamentare!J334</f>
        <v>13</v>
      </c>
      <c r="L224" s="56">
        <f t="shared" si="50"/>
        <v>0</v>
      </c>
    </row>
    <row r="225" spans="1:12" ht="30.75">
      <c r="A225" s="21" t="s">
        <v>439</v>
      </c>
      <c r="B225" s="191">
        <v>38676</v>
      </c>
      <c r="C225" s="56">
        <f>Fundamentare!B335</f>
        <v>23.969</v>
      </c>
      <c r="D225" s="56">
        <f>Fundamentare!C335</f>
        <v>57</v>
      </c>
      <c r="E225" s="56">
        <f>Fundamentare!D335</f>
        <v>57</v>
      </c>
      <c r="F225" s="56">
        <f>Fundamentare!E335</f>
        <v>57</v>
      </c>
      <c r="G225" s="56">
        <f>Fundamentare!F335</f>
        <v>60</v>
      </c>
      <c r="H225" s="56">
        <f>Fundamentare!G335</f>
        <v>0</v>
      </c>
      <c r="I225" s="56">
        <f>Fundamentare!H335</f>
        <v>0</v>
      </c>
      <c r="J225" s="56">
        <f>Fundamentare!I335</f>
        <v>0</v>
      </c>
      <c r="K225" s="56">
        <f>Fundamentare!J335</f>
        <v>60</v>
      </c>
      <c r="L225" s="56">
        <f t="shared" si="50"/>
        <v>0</v>
      </c>
    </row>
    <row r="226" spans="1:12" ht="18">
      <c r="A226" s="193" t="s">
        <v>440</v>
      </c>
      <c r="B226" s="191">
        <v>38706</v>
      </c>
      <c r="C226" s="56">
        <f>Fundamentare!B336</f>
        <v>0</v>
      </c>
      <c r="D226" s="56">
        <f>Fundamentare!C336</f>
        <v>0</v>
      </c>
      <c r="E226" s="56">
        <f>Fundamentare!D336</f>
        <v>28</v>
      </c>
      <c r="F226" s="56">
        <f>Fundamentare!E336</f>
        <v>28</v>
      </c>
      <c r="G226" s="56">
        <f>Fundamentare!F336</f>
        <v>29</v>
      </c>
      <c r="H226" s="56">
        <f>Fundamentare!G336</f>
        <v>0</v>
      </c>
      <c r="I226" s="56">
        <f>Fundamentare!H336</f>
        <v>0</v>
      </c>
      <c r="J226" s="56">
        <f>Fundamentare!I336</f>
        <v>0</v>
      </c>
      <c r="K226" s="56">
        <f>Fundamentare!J336</f>
        <v>29</v>
      </c>
      <c r="L226" s="56">
        <f aca="true" t="shared" si="60" ref="L226:L282">K226-G226</f>
        <v>0</v>
      </c>
    </row>
    <row r="227" spans="1:12" ht="18">
      <c r="A227" s="193" t="s">
        <v>441</v>
      </c>
      <c r="B227" s="191" t="s">
        <v>646</v>
      </c>
      <c r="C227" s="56">
        <f>Fundamentare!B337</f>
        <v>0</v>
      </c>
      <c r="D227" s="56">
        <f>Fundamentare!C337</f>
        <v>50</v>
      </c>
      <c r="E227" s="56">
        <f>Fundamentare!D337</f>
        <v>50</v>
      </c>
      <c r="F227" s="56">
        <f>Fundamentare!E337</f>
        <v>50</v>
      </c>
      <c r="G227" s="56">
        <f>Fundamentare!F337</f>
        <v>52</v>
      </c>
      <c r="H227" s="56">
        <f>Fundamentare!G337</f>
        <v>0</v>
      </c>
      <c r="I227" s="56">
        <f>Fundamentare!H337</f>
        <v>0</v>
      </c>
      <c r="J227" s="56">
        <f>Fundamentare!I337</f>
        <v>0</v>
      </c>
      <c r="K227" s="56">
        <f>Fundamentare!J337</f>
        <v>52</v>
      </c>
      <c r="L227" s="56">
        <f t="shared" si="60"/>
        <v>0</v>
      </c>
    </row>
    <row r="228" spans="1:12" ht="18">
      <c r="A228" s="193" t="s">
        <v>442</v>
      </c>
      <c r="B228" s="191" t="s">
        <v>647</v>
      </c>
      <c r="C228" s="56">
        <f>Fundamentare!B338</f>
        <v>0</v>
      </c>
      <c r="D228" s="56">
        <f>Fundamentare!C338</f>
        <v>0</v>
      </c>
      <c r="E228" s="56">
        <f>Fundamentare!D338</f>
        <v>0</v>
      </c>
      <c r="F228" s="56">
        <f>Fundamentare!E338</f>
        <v>0</v>
      </c>
      <c r="G228" s="56">
        <f>Fundamentare!F338</f>
        <v>0</v>
      </c>
      <c r="H228" s="56">
        <f>Fundamentare!G338</f>
        <v>0</v>
      </c>
      <c r="I228" s="56">
        <f>Fundamentare!H338</f>
        <v>0</v>
      </c>
      <c r="J228" s="56">
        <f>Fundamentare!I338</f>
        <v>0</v>
      </c>
      <c r="K228" s="56">
        <f>Fundamentare!J338</f>
        <v>0</v>
      </c>
      <c r="L228" s="56">
        <f t="shared" si="60"/>
        <v>0</v>
      </c>
    </row>
    <row r="229" spans="1:12" ht="30.75">
      <c r="A229" s="203" t="s">
        <v>443</v>
      </c>
      <c r="B229" s="191" t="s">
        <v>648</v>
      </c>
      <c r="C229" s="56">
        <f aca="true" t="shared" si="61" ref="C229:K229">C230</f>
        <v>0</v>
      </c>
      <c r="D229" s="56">
        <f t="shared" si="61"/>
        <v>0</v>
      </c>
      <c r="E229" s="56">
        <f t="shared" si="61"/>
        <v>0</v>
      </c>
      <c r="F229" s="56">
        <f t="shared" si="61"/>
        <v>0</v>
      </c>
      <c r="G229" s="56">
        <f t="shared" si="61"/>
        <v>0</v>
      </c>
      <c r="H229" s="56">
        <f t="shared" si="61"/>
        <v>0</v>
      </c>
      <c r="I229" s="56">
        <f t="shared" si="61"/>
        <v>0</v>
      </c>
      <c r="J229" s="56">
        <f t="shared" si="61"/>
        <v>0</v>
      </c>
      <c r="K229" s="56">
        <f t="shared" si="61"/>
        <v>0</v>
      </c>
      <c r="L229" s="56">
        <f t="shared" si="60"/>
        <v>0</v>
      </c>
    </row>
    <row r="230" spans="1:12" ht="30.75">
      <c r="A230" s="21" t="s">
        <v>444</v>
      </c>
      <c r="B230" s="191" t="s">
        <v>649</v>
      </c>
      <c r="C230" s="56">
        <f>Fundamentare!B340</f>
        <v>0</v>
      </c>
      <c r="D230" s="56">
        <f>Fundamentare!C340</f>
        <v>0</v>
      </c>
      <c r="E230" s="56">
        <f>Fundamentare!D340</f>
        <v>0</v>
      </c>
      <c r="F230" s="56">
        <f>Fundamentare!E340</f>
        <v>0</v>
      </c>
      <c r="G230" s="56">
        <f>Fundamentare!F340</f>
        <v>0</v>
      </c>
      <c r="H230" s="56">
        <f>Fundamentare!G340</f>
        <v>0</v>
      </c>
      <c r="I230" s="56">
        <f>Fundamentare!H340</f>
        <v>0</v>
      </c>
      <c r="J230" s="56">
        <f>Fundamentare!I340</f>
        <v>0</v>
      </c>
      <c r="K230" s="56">
        <f>Fundamentare!J340</f>
        <v>0</v>
      </c>
      <c r="L230" s="56">
        <f t="shared" si="60"/>
        <v>0</v>
      </c>
    </row>
    <row r="231" spans="1:12" ht="18">
      <c r="A231" s="193" t="s">
        <v>445</v>
      </c>
      <c r="B231" s="191" t="s">
        <v>650</v>
      </c>
      <c r="C231" s="56">
        <f aca="true" t="shared" si="62" ref="C231:K231">SUM(C232:C235)</f>
        <v>24</v>
      </c>
      <c r="D231" s="56">
        <f t="shared" si="62"/>
        <v>773</v>
      </c>
      <c r="E231" s="56">
        <f t="shared" si="62"/>
        <v>745</v>
      </c>
      <c r="F231" s="56">
        <f t="shared" si="62"/>
        <v>745</v>
      </c>
      <c r="G231" s="56">
        <f t="shared" si="62"/>
        <v>806</v>
      </c>
      <c r="H231" s="56">
        <f t="shared" si="62"/>
        <v>0</v>
      </c>
      <c r="I231" s="56">
        <f t="shared" si="62"/>
        <v>0</v>
      </c>
      <c r="J231" s="56">
        <f t="shared" si="62"/>
        <v>0</v>
      </c>
      <c r="K231" s="56">
        <f t="shared" si="62"/>
        <v>806</v>
      </c>
      <c r="L231" s="56">
        <f t="shared" si="60"/>
        <v>0</v>
      </c>
    </row>
    <row r="232" spans="1:12" ht="18">
      <c r="A232" s="193" t="s">
        <v>446</v>
      </c>
      <c r="B232" s="148" t="s">
        <v>651</v>
      </c>
      <c r="C232" s="57">
        <f>Fundamentare!B342</f>
        <v>0</v>
      </c>
      <c r="D232" s="57">
        <f>Fundamentare!C342</f>
        <v>0</v>
      </c>
      <c r="E232" s="57">
        <f>Fundamentare!D342</f>
        <v>0</v>
      </c>
      <c r="F232" s="57">
        <f>Fundamentare!E342</f>
        <v>0</v>
      </c>
      <c r="G232" s="57">
        <f>Fundamentare!F342</f>
        <v>0</v>
      </c>
      <c r="H232" s="57">
        <f>Fundamentare!G342</f>
        <v>0</v>
      </c>
      <c r="I232" s="57">
        <f>Fundamentare!H342</f>
        <v>0</v>
      </c>
      <c r="J232" s="57">
        <f>Fundamentare!I342</f>
        <v>0</v>
      </c>
      <c r="K232" s="57">
        <f>Fundamentare!J342</f>
        <v>0</v>
      </c>
      <c r="L232" s="56">
        <f t="shared" si="60"/>
        <v>0</v>
      </c>
    </row>
    <row r="233" spans="1:12" ht="18">
      <c r="A233" s="193" t="s">
        <v>373</v>
      </c>
      <c r="B233" s="148" t="s">
        <v>652</v>
      </c>
      <c r="C233" s="56">
        <f>Fundamentare!B343</f>
        <v>0</v>
      </c>
      <c r="D233" s="56">
        <f>Fundamentare!C343</f>
        <v>0</v>
      </c>
      <c r="E233" s="56">
        <f>Fundamentare!D343</f>
        <v>0</v>
      </c>
      <c r="F233" s="56">
        <f>Fundamentare!E343</f>
        <v>0</v>
      </c>
      <c r="G233" s="56">
        <f>Fundamentare!F343</f>
        <v>0</v>
      </c>
      <c r="H233" s="56">
        <f>Fundamentare!G343</f>
        <v>0</v>
      </c>
      <c r="I233" s="56">
        <f>Fundamentare!H343</f>
        <v>0</v>
      </c>
      <c r="J233" s="56">
        <f>Fundamentare!I343</f>
        <v>0</v>
      </c>
      <c r="K233" s="56">
        <f>Fundamentare!J343</f>
        <v>0</v>
      </c>
      <c r="L233" s="56">
        <f t="shared" si="60"/>
        <v>0</v>
      </c>
    </row>
    <row r="234" spans="1:12" ht="30.75">
      <c r="A234" s="21" t="s">
        <v>374</v>
      </c>
      <c r="B234" s="148" t="s">
        <v>653</v>
      </c>
      <c r="C234" s="56">
        <f>Fundamentare!B344</f>
        <v>0</v>
      </c>
      <c r="D234" s="56">
        <f>Fundamentare!C344</f>
        <v>0</v>
      </c>
      <c r="E234" s="56">
        <f>Fundamentare!D344</f>
        <v>0</v>
      </c>
      <c r="F234" s="56">
        <f>Fundamentare!E344</f>
        <v>0</v>
      </c>
      <c r="G234" s="56">
        <f>Fundamentare!F344</f>
        <v>0</v>
      </c>
      <c r="H234" s="56">
        <f>Fundamentare!G344</f>
        <v>0</v>
      </c>
      <c r="I234" s="56">
        <f>Fundamentare!H344</f>
        <v>0</v>
      </c>
      <c r="J234" s="56">
        <f>Fundamentare!I344</f>
        <v>0</v>
      </c>
      <c r="K234" s="56">
        <f>Fundamentare!J344</f>
        <v>0</v>
      </c>
      <c r="L234" s="56">
        <f t="shared" si="60"/>
        <v>0</v>
      </c>
    </row>
    <row r="235" spans="1:12" ht="30.75">
      <c r="A235" s="21" t="s">
        <v>447</v>
      </c>
      <c r="B235" s="148" t="s">
        <v>655</v>
      </c>
      <c r="C235" s="56">
        <f>Fundamentare!B345</f>
        <v>24</v>
      </c>
      <c r="D235" s="56">
        <f>Fundamentare!C345</f>
        <v>773</v>
      </c>
      <c r="E235" s="56">
        <f>Fundamentare!D345</f>
        <v>745</v>
      </c>
      <c r="F235" s="56">
        <f>Fundamentare!E345</f>
        <v>745</v>
      </c>
      <c r="G235" s="56">
        <f>Fundamentare!F345</f>
        <v>806</v>
      </c>
      <c r="H235" s="56">
        <f>Fundamentare!G345</f>
        <v>0</v>
      </c>
      <c r="I235" s="56">
        <f>Fundamentare!H345</f>
        <v>0</v>
      </c>
      <c r="J235" s="56">
        <f>Fundamentare!I345</f>
        <v>0</v>
      </c>
      <c r="K235" s="56">
        <f>Fundamentare!J345</f>
        <v>806</v>
      </c>
      <c r="L235" s="56">
        <f t="shared" si="60"/>
        <v>0</v>
      </c>
    </row>
    <row r="236" spans="1:12" ht="18">
      <c r="A236" s="193"/>
      <c r="B236" s="148"/>
      <c r="C236" s="56"/>
      <c r="D236" s="56"/>
      <c r="E236" s="56"/>
      <c r="F236" s="56"/>
      <c r="G236" s="56"/>
      <c r="H236" s="56"/>
      <c r="I236" s="56"/>
      <c r="J236" s="56"/>
      <c r="K236" s="56"/>
      <c r="L236" s="56">
        <f t="shared" si="60"/>
        <v>0</v>
      </c>
    </row>
    <row r="237" spans="1:12" ht="31.5">
      <c r="A237" s="181" t="s">
        <v>448</v>
      </c>
      <c r="B237" s="184">
        <v>51</v>
      </c>
      <c r="C237" s="56">
        <f aca="true" t="shared" si="63" ref="C237:K237">C238</f>
        <v>253.864</v>
      </c>
      <c r="D237" s="56">
        <f t="shared" si="63"/>
        <v>1616</v>
      </c>
      <c r="E237" s="56">
        <f t="shared" si="63"/>
        <v>1616</v>
      </c>
      <c r="F237" s="56">
        <f t="shared" si="63"/>
        <v>1616</v>
      </c>
      <c r="G237" s="56">
        <f t="shared" si="63"/>
        <v>1712</v>
      </c>
      <c r="H237" s="56">
        <f t="shared" si="63"/>
        <v>1488</v>
      </c>
      <c r="I237" s="56">
        <f t="shared" si="63"/>
        <v>1256</v>
      </c>
      <c r="J237" s="56">
        <f t="shared" si="63"/>
        <v>1287.95</v>
      </c>
      <c r="K237" s="56">
        <f t="shared" si="63"/>
        <v>2023.33511</v>
      </c>
      <c r="L237" s="56">
        <f t="shared" si="60"/>
        <v>311.33511</v>
      </c>
    </row>
    <row r="238" spans="1:12" ht="18">
      <c r="A238" s="180" t="s">
        <v>382</v>
      </c>
      <c r="B238" s="184" t="s">
        <v>659</v>
      </c>
      <c r="C238" s="56">
        <f aca="true" t="shared" si="64" ref="C238:J238">C239</f>
        <v>253.864</v>
      </c>
      <c r="D238" s="56">
        <f t="shared" si="64"/>
        <v>1616</v>
      </c>
      <c r="E238" s="56">
        <f t="shared" si="64"/>
        <v>1616</v>
      </c>
      <c r="F238" s="56">
        <f t="shared" si="64"/>
        <v>1616</v>
      </c>
      <c r="G238" s="56">
        <f t="shared" si="64"/>
        <v>1712</v>
      </c>
      <c r="H238" s="56">
        <f t="shared" si="64"/>
        <v>1488</v>
      </c>
      <c r="I238" s="56">
        <f t="shared" si="64"/>
        <v>1256</v>
      </c>
      <c r="J238" s="56">
        <f t="shared" si="64"/>
        <v>1287.95</v>
      </c>
      <c r="K238" s="56">
        <f>K239+K240</f>
        <v>2023.33511</v>
      </c>
      <c r="L238" s="56">
        <f t="shared" si="60"/>
        <v>311.33511</v>
      </c>
    </row>
    <row r="239" spans="1:12" ht="45.75">
      <c r="A239" s="188" t="s">
        <v>449</v>
      </c>
      <c r="B239" s="184" t="s">
        <v>682</v>
      </c>
      <c r="C239" s="56">
        <f>Fundamentare!B233</f>
        <v>253.864</v>
      </c>
      <c r="D239" s="56">
        <f>Fundamentare!C233</f>
        <v>1616</v>
      </c>
      <c r="E239" s="56">
        <f>Fundamentare!D233</f>
        <v>1616</v>
      </c>
      <c r="F239" s="56">
        <f>Fundamentare!E233</f>
        <v>1616</v>
      </c>
      <c r="G239" s="56">
        <f>Fundamentare!F233</f>
        <v>1712</v>
      </c>
      <c r="H239" s="56">
        <f>Fundamentare!G233</f>
        <v>1488</v>
      </c>
      <c r="I239" s="56">
        <f>Fundamentare!H233</f>
        <v>1256</v>
      </c>
      <c r="J239" s="56">
        <f>Fundamentare!I233</f>
        <v>1287.95</v>
      </c>
      <c r="K239" s="56">
        <f>Fundamentare!J233</f>
        <v>1712</v>
      </c>
      <c r="L239" s="56">
        <f t="shared" si="60"/>
        <v>0</v>
      </c>
    </row>
    <row r="240" spans="1:12" ht="60.75">
      <c r="A240" s="188" t="s">
        <v>450</v>
      </c>
      <c r="B240" s="184"/>
      <c r="C240" s="56">
        <f>Fundamentare!B293</f>
        <v>0</v>
      </c>
      <c r="D240" s="56">
        <f>Fundamentare!C293</f>
        <v>0</v>
      </c>
      <c r="E240" s="56">
        <f>Fundamentare!D293</f>
        <v>0</v>
      </c>
      <c r="F240" s="56">
        <f>Fundamentare!E293</f>
        <v>0</v>
      </c>
      <c r="G240" s="56">
        <f>Fundamentare!F293</f>
        <v>0</v>
      </c>
      <c r="H240" s="56">
        <f>Fundamentare!G293</f>
        <v>0</v>
      </c>
      <c r="I240" s="56">
        <f>Fundamentare!H293</f>
        <v>0</v>
      </c>
      <c r="J240" s="56">
        <f>Fundamentare!I293</f>
        <v>0</v>
      </c>
      <c r="K240" s="56">
        <f>Fundamentare!J236</f>
        <v>311.33511000000004</v>
      </c>
      <c r="L240" s="56">
        <f t="shared" si="60"/>
        <v>311.33511000000004</v>
      </c>
    </row>
    <row r="241" spans="1:12" ht="18">
      <c r="A241" s="204" t="s">
        <v>451</v>
      </c>
      <c r="B241" s="184">
        <v>55</v>
      </c>
      <c r="C241" s="56">
        <f aca="true" t="shared" si="65" ref="C241:K242">C242</f>
        <v>29.204</v>
      </c>
      <c r="D241" s="56">
        <f t="shared" si="65"/>
        <v>12353</v>
      </c>
      <c r="E241" s="56">
        <f t="shared" si="65"/>
        <v>12353</v>
      </c>
      <c r="F241" s="56">
        <f t="shared" si="65"/>
        <v>12353</v>
      </c>
      <c r="G241" s="56">
        <f t="shared" si="65"/>
        <v>11752</v>
      </c>
      <c r="H241" s="56">
        <f t="shared" si="65"/>
        <v>11000</v>
      </c>
      <c r="I241" s="56">
        <f t="shared" si="65"/>
        <v>10000</v>
      </c>
      <c r="J241" s="56">
        <f t="shared" si="65"/>
        <v>10000</v>
      </c>
      <c r="K241" s="56">
        <f t="shared" si="65"/>
        <v>11752</v>
      </c>
      <c r="L241" s="56">
        <f t="shared" si="60"/>
        <v>0</v>
      </c>
    </row>
    <row r="242" spans="1:12" ht="18">
      <c r="A242" s="180" t="s">
        <v>518</v>
      </c>
      <c r="B242" s="184" t="s">
        <v>683</v>
      </c>
      <c r="C242" s="56">
        <f t="shared" si="65"/>
        <v>29.204</v>
      </c>
      <c r="D242" s="56">
        <f t="shared" si="65"/>
        <v>12353</v>
      </c>
      <c r="E242" s="56">
        <f t="shared" si="65"/>
        <v>12353</v>
      </c>
      <c r="F242" s="56">
        <f t="shared" si="65"/>
        <v>12353</v>
      </c>
      <c r="G242" s="56">
        <f t="shared" si="65"/>
        <v>11752</v>
      </c>
      <c r="H242" s="56">
        <f t="shared" si="65"/>
        <v>11000</v>
      </c>
      <c r="I242" s="56">
        <f t="shared" si="65"/>
        <v>10000</v>
      </c>
      <c r="J242" s="56">
        <f t="shared" si="65"/>
        <v>10000</v>
      </c>
      <c r="K242" s="56">
        <f t="shared" si="65"/>
        <v>11752</v>
      </c>
      <c r="L242" s="56">
        <f t="shared" si="60"/>
        <v>0</v>
      </c>
    </row>
    <row r="243" spans="1:12" ht="60.75">
      <c r="A243" s="188" t="s">
        <v>519</v>
      </c>
      <c r="B243" s="184" t="s">
        <v>684</v>
      </c>
      <c r="C243" s="56">
        <f>Fundamentare!B270</f>
        <v>29.204</v>
      </c>
      <c r="D243" s="56">
        <f>Fundamentare!C270</f>
        <v>12353</v>
      </c>
      <c r="E243" s="56">
        <f>Fundamentare!D270</f>
        <v>12353</v>
      </c>
      <c r="F243" s="56">
        <f>Fundamentare!E270</f>
        <v>12353</v>
      </c>
      <c r="G243" s="56">
        <f>Fundamentare!F270</f>
        <v>11752</v>
      </c>
      <c r="H243" s="56">
        <f>Fundamentare!G270</f>
        <v>11000</v>
      </c>
      <c r="I243" s="56">
        <f>Fundamentare!H270</f>
        <v>10000</v>
      </c>
      <c r="J243" s="56">
        <f>Fundamentare!I270</f>
        <v>10000</v>
      </c>
      <c r="K243" s="56">
        <f>Fundamentare!J270</f>
        <v>11752</v>
      </c>
      <c r="L243" s="56">
        <f t="shared" si="60"/>
        <v>0</v>
      </c>
    </row>
    <row r="244" spans="1:12" ht="18">
      <c r="A244" s="180"/>
      <c r="B244" s="184"/>
      <c r="C244" s="56"/>
      <c r="D244" s="56"/>
      <c r="E244" s="56"/>
      <c r="F244" s="56"/>
      <c r="G244" s="56"/>
      <c r="H244" s="56"/>
      <c r="I244" s="56"/>
      <c r="J244" s="56"/>
      <c r="K244" s="56"/>
      <c r="L244" s="56">
        <f t="shared" si="60"/>
        <v>0</v>
      </c>
    </row>
    <row r="245" spans="1:12" ht="18">
      <c r="A245" s="182" t="s">
        <v>520</v>
      </c>
      <c r="B245" s="184">
        <v>57</v>
      </c>
      <c r="C245" s="56">
        <f aca="true" t="shared" si="66" ref="C245:K245">C246</f>
        <v>6082.2480000000005</v>
      </c>
      <c r="D245" s="56">
        <f t="shared" si="66"/>
        <v>78211.81399200001</v>
      </c>
      <c r="E245" s="56">
        <f t="shared" si="66"/>
        <v>78211.81399200001</v>
      </c>
      <c r="F245" s="56">
        <f t="shared" si="66"/>
        <v>5212.546</v>
      </c>
      <c r="G245" s="56">
        <f t="shared" si="66"/>
        <v>78630.64</v>
      </c>
      <c r="H245" s="56">
        <f t="shared" si="66"/>
        <v>94186.9</v>
      </c>
      <c r="I245" s="56">
        <f t="shared" si="66"/>
        <v>102139.36</v>
      </c>
      <c r="J245" s="56">
        <f t="shared" si="66"/>
        <v>109800.5</v>
      </c>
      <c r="K245" s="56">
        <f t="shared" si="66"/>
        <v>78630.64</v>
      </c>
      <c r="L245" s="56">
        <f t="shared" si="60"/>
        <v>0</v>
      </c>
    </row>
    <row r="246" spans="1:12" ht="18">
      <c r="A246" s="180" t="s">
        <v>521</v>
      </c>
      <c r="B246" s="184" t="s">
        <v>662</v>
      </c>
      <c r="C246" s="56">
        <f aca="true" t="shared" si="67" ref="C246:K246">C247+C248</f>
        <v>6082.2480000000005</v>
      </c>
      <c r="D246" s="56">
        <f t="shared" si="67"/>
        <v>78211.81399200001</v>
      </c>
      <c r="E246" s="56">
        <f t="shared" si="67"/>
        <v>78211.81399200001</v>
      </c>
      <c r="F246" s="56">
        <f t="shared" si="67"/>
        <v>5212.546</v>
      </c>
      <c r="G246" s="56">
        <f t="shared" si="67"/>
        <v>78630.64</v>
      </c>
      <c r="H246" s="56">
        <f t="shared" si="67"/>
        <v>94186.9</v>
      </c>
      <c r="I246" s="56">
        <f t="shared" si="67"/>
        <v>102139.36</v>
      </c>
      <c r="J246" s="56">
        <f t="shared" si="67"/>
        <v>109800.5</v>
      </c>
      <c r="K246" s="56">
        <f t="shared" si="67"/>
        <v>78630.64</v>
      </c>
      <c r="L246" s="56">
        <f t="shared" si="60"/>
        <v>0</v>
      </c>
    </row>
    <row r="247" spans="1:12" ht="60.75">
      <c r="A247" s="188" t="s">
        <v>522</v>
      </c>
      <c r="B247" s="184" t="s">
        <v>663</v>
      </c>
      <c r="C247" s="56">
        <f>Fundamentare!B225+Fundamentare!B248+Fundamentare!B238+Fundamentare!B254</f>
        <v>5034.416</v>
      </c>
      <c r="D247" s="56">
        <f>Fundamentare!C225+Fundamentare!C248+Fundamentare!C238+Fundamentare!C254</f>
        <v>68579.81399200001</v>
      </c>
      <c r="E247" s="56">
        <f>Fundamentare!D225+Fundamentare!D248+Fundamentare!D238+Fundamentare!D254</f>
        <v>68579.81399200001</v>
      </c>
      <c r="F247" s="56">
        <f>Fundamentare!E225+Fundamentare!E248+Fundamentare!E238+Fundamentare!E254</f>
        <v>3580.8019999999997</v>
      </c>
      <c r="G247" s="56">
        <f>Fundamentare!F225+Fundamentare!F248+Fundamentare!F238+Fundamentare!F254</f>
        <v>70821.16</v>
      </c>
      <c r="H247" s="56">
        <f>Fundamentare!G225+Fundamentare!G248+Fundamentare!G238+Fundamentare!G254</f>
        <v>82997.4</v>
      </c>
      <c r="I247" s="56">
        <f>Fundamentare!H225+Fundamentare!H248+Fundamentare!H238+Fundamentare!H254</f>
        <v>90614.66</v>
      </c>
      <c r="J247" s="56">
        <f>Fundamentare!I225+Fundamentare!I248+Fundamentare!I238+Fundamentare!I254</f>
        <v>97940</v>
      </c>
      <c r="K247" s="56">
        <f>Fundamentare!J225+Fundamentare!J248+Fundamentare!J238+Fundamentare!J254</f>
        <v>70821.16</v>
      </c>
      <c r="L247" s="56">
        <f t="shared" si="60"/>
        <v>0</v>
      </c>
    </row>
    <row r="248" spans="1:12" ht="75.75">
      <c r="A248" s="186" t="s">
        <v>523</v>
      </c>
      <c r="B248" s="184" t="s">
        <v>685</v>
      </c>
      <c r="C248" s="56">
        <f>Fundamentare!B243+Fundamentare!B265+Fundamentare!B259</f>
        <v>1047.832</v>
      </c>
      <c r="D248" s="56">
        <f>Fundamentare!C243+Fundamentare!C265+Fundamentare!C259</f>
        <v>9632</v>
      </c>
      <c r="E248" s="56">
        <f>Fundamentare!D243+Fundamentare!D265+Fundamentare!D259</f>
        <v>9632</v>
      </c>
      <c r="F248" s="56">
        <f>Fundamentare!E243+Fundamentare!E265+Fundamentare!E259</f>
        <v>1631.7440000000001</v>
      </c>
      <c r="G248" s="56">
        <f>Fundamentare!F243+Fundamentare!F265+Fundamentare!F259</f>
        <v>7809.4800000000005</v>
      </c>
      <c r="H248" s="56">
        <f>Fundamentare!G243+Fundamentare!G265+Fundamentare!G259</f>
        <v>11189.5</v>
      </c>
      <c r="I248" s="56">
        <f>Fundamentare!H243+Fundamentare!H265+Fundamentare!H259</f>
        <v>11524.7</v>
      </c>
      <c r="J248" s="56">
        <f>Fundamentare!I243+Fundamentare!I265+Fundamentare!I259</f>
        <v>11860.5</v>
      </c>
      <c r="K248" s="56">
        <f>Fundamentare!J243+Fundamentare!J265+Fundamentare!J259</f>
        <v>7809.4800000000005</v>
      </c>
      <c r="L248" s="56">
        <f t="shared" si="60"/>
        <v>0</v>
      </c>
    </row>
    <row r="249" spans="1:12" ht="18">
      <c r="A249" s="186"/>
      <c r="B249" s="184"/>
      <c r="C249" s="56"/>
      <c r="D249" s="56"/>
      <c r="E249" s="56"/>
      <c r="F249" s="56"/>
      <c r="G249" s="56"/>
      <c r="H249" s="56"/>
      <c r="I249" s="56"/>
      <c r="J249" s="56"/>
      <c r="K249" s="56"/>
      <c r="L249" s="56">
        <f t="shared" si="60"/>
        <v>0</v>
      </c>
    </row>
    <row r="250" spans="1:12" ht="18">
      <c r="A250" s="182" t="s">
        <v>524</v>
      </c>
      <c r="B250" s="184">
        <v>70</v>
      </c>
      <c r="C250" s="56">
        <f aca="true" t="shared" si="68" ref="C250:K250">C251</f>
        <v>1107.313</v>
      </c>
      <c r="D250" s="56">
        <f t="shared" si="68"/>
        <v>3857</v>
      </c>
      <c r="E250" s="56">
        <f t="shared" si="68"/>
        <v>3857</v>
      </c>
      <c r="F250" s="56">
        <f t="shared" si="68"/>
        <v>3357</v>
      </c>
      <c r="G250" s="56">
        <f t="shared" si="68"/>
        <v>4031</v>
      </c>
      <c r="H250" s="56">
        <f t="shared" si="68"/>
        <v>4171.116</v>
      </c>
      <c r="I250" s="56">
        <f t="shared" si="68"/>
        <v>4297.2494799999995</v>
      </c>
      <c r="J250" s="56">
        <f t="shared" si="68"/>
        <v>4425.2752159599995</v>
      </c>
      <c r="K250" s="56">
        <f t="shared" si="68"/>
        <v>4031</v>
      </c>
      <c r="L250" s="56">
        <f t="shared" si="60"/>
        <v>0</v>
      </c>
    </row>
    <row r="251" spans="1:12" ht="18">
      <c r="A251" s="182" t="s">
        <v>525</v>
      </c>
      <c r="B251" s="184">
        <v>71</v>
      </c>
      <c r="C251" s="56">
        <f>C252+C257</f>
        <v>1107.313</v>
      </c>
      <c r="D251" s="56">
        <f>D252+D257</f>
        <v>3857</v>
      </c>
      <c r="E251" s="56">
        <f>E252+E257</f>
        <v>3857</v>
      </c>
      <c r="F251" s="56">
        <f>F252+F257</f>
        <v>3357</v>
      </c>
      <c r="G251" s="56">
        <f>G252+G257</f>
        <v>4031</v>
      </c>
      <c r="H251" s="56">
        <f>Fundamentare!G351</f>
        <v>4171.116</v>
      </c>
      <c r="I251" s="56">
        <f>Fundamentare!H351</f>
        <v>4297.2494799999995</v>
      </c>
      <c r="J251" s="56">
        <f>Fundamentare!I351</f>
        <v>4425.2752159599995</v>
      </c>
      <c r="K251" s="56">
        <f>K252+K257</f>
        <v>4031</v>
      </c>
      <c r="L251" s="56">
        <f t="shared" si="60"/>
        <v>0</v>
      </c>
    </row>
    <row r="252" spans="1:12" ht="18">
      <c r="A252" s="180" t="s">
        <v>526</v>
      </c>
      <c r="B252" s="184" t="s">
        <v>665</v>
      </c>
      <c r="C252" s="56">
        <f aca="true" t="shared" si="69" ref="C252:K252">SUM(C253:C256)</f>
        <v>1107.313</v>
      </c>
      <c r="D252" s="56">
        <f t="shared" si="69"/>
        <v>3857</v>
      </c>
      <c r="E252" s="56">
        <f t="shared" si="69"/>
        <v>3857</v>
      </c>
      <c r="F252" s="56">
        <f t="shared" si="69"/>
        <v>3357</v>
      </c>
      <c r="G252" s="56">
        <f t="shared" si="69"/>
        <v>3320</v>
      </c>
      <c r="H252" s="56">
        <f t="shared" si="69"/>
        <v>0</v>
      </c>
      <c r="I252" s="56">
        <f t="shared" si="69"/>
        <v>0</v>
      </c>
      <c r="J252" s="56">
        <f t="shared" si="69"/>
        <v>0</v>
      </c>
      <c r="K252" s="56">
        <f t="shared" si="69"/>
        <v>3320</v>
      </c>
      <c r="L252" s="56">
        <f t="shared" si="60"/>
        <v>0</v>
      </c>
    </row>
    <row r="253" spans="1:12" ht="18">
      <c r="A253" s="180" t="s">
        <v>527</v>
      </c>
      <c r="B253" s="184" t="s">
        <v>666</v>
      </c>
      <c r="C253" s="57">
        <f>Fundamentare!B354</f>
        <v>0</v>
      </c>
      <c r="D253" s="57">
        <f>Fundamentare!C354</f>
        <v>1854</v>
      </c>
      <c r="E253" s="57">
        <f>Fundamentare!D354</f>
        <v>1854</v>
      </c>
      <c r="F253" s="57">
        <f>Fundamentare!E354</f>
        <v>1354</v>
      </c>
      <c r="G253" s="57">
        <f>Fundamentare!F354</f>
        <v>1937</v>
      </c>
      <c r="H253" s="57">
        <f>Fundamentare!G354</f>
        <v>0</v>
      </c>
      <c r="I253" s="57">
        <f>Fundamentare!H354</f>
        <v>0</v>
      </c>
      <c r="J253" s="57">
        <f>Fundamentare!I354</f>
        <v>0</v>
      </c>
      <c r="K253" s="57">
        <f>Fundamentare!J354</f>
        <v>1937</v>
      </c>
      <c r="L253" s="56">
        <f t="shared" si="60"/>
        <v>0</v>
      </c>
    </row>
    <row r="254" spans="1:12" ht="30.75">
      <c r="A254" s="186" t="s">
        <v>528</v>
      </c>
      <c r="B254" s="184" t="s">
        <v>667</v>
      </c>
      <c r="C254" s="56">
        <f>Fundamentare!B355</f>
        <v>0</v>
      </c>
      <c r="D254" s="56">
        <f>Fundamentare!C355</f>
        <v>0</v>
      </c>
      <c r="E254" s="56">
        <f>Fundamentare!D355</f>
        <v>0</v>
      </c>
      <c r="F254" s="56">
        <f>Fundamentare!E355</f>
        <v>0</v>
      </c>
      <c r="G254" s="56">
        <f>Fundamentare!F355</f>
        <v>0</v>
      </c>
      <c r="H254" s="56">
        <f>Fundamentare!G355</f>
        <v>0</v>
      </c>
      <c r="I254" s="56">
        <f>Fundamentare!H355</f>
        <v>0</v>
      </c>
      <c r="J254" s="56">
        <f>Fundamentare!I355</f>
        <v>0</v>
      </c>
      <c r="K254" s="56">
        <f>Fundamentare!J355</f>
        <v>0</v>
      </c>
      <c r="L254" s="56">
        <f t="shared" si="60"/>
        <v>0</v>
      </c>
    </row>
    <row r="255" spans="1:12" ht="30.75">
      <c r="A255" s="186" t="s">
        <v>529</v>
      </c>
      <c r="B255" s="184" t="s">
        <v>668</v>
      </c>
      <c r="C255" s="56">
        <f>Fundamentare!B356</f>
        <v>0</v>
      </c>
      <c r="D255" s="56">
        <f>Fundamentare!C356</f>
        <v>1323</v>
      </c>
      <c r="E255" s="56">
        <f>Fundamentare!D356</f>
        <v>1323</v>
      </c>
      <c r="F255" s="56">
        <f>Fundamentare!E356</f>
        <v>1323</v>
      </c>
      <c r="G255" s="56">
        <f>Fundamentare!F356</f>
        <v>1383</v>
      </c>
      <c r="H255" s="56">
        <f>Fundamentare!G356</f>
        <v>0</v>
      </c>
      <c r="I255" s="56">
        <f>Fundamentare!H356</f>
        <v>0</v>
      </c>
      <c r="J255" s="56">
        <f>Fundamentare!I356</f>
        <v>0</v>
      </c>
      <c r="K255" s="56">
        <f>Fundamentare!J356</f>
        <v>1383</v>
      </c>
      <c r="L255" s="56">
        <f t="shared" si="60"/>
        <v>0</v>
      </c>
    </row>
    <row r="256" spans="1:12" ht="18">
      <c r="A256" s="180" t="s">
        <v>401</v>
      </c>
      <c r="B256" s="184" t="s">
        <v>669</v>
      </c>
      <c r="C256" s="56">
        <f>Fundamentare!B357</f>
        <v>1107.313</v>
      </c>
      <c r="D256" s="56">
        <f>Fundamentare!C357</f>
        <v>680</v>
      </c>
      <c r="E256" s="56">
        <f>Fundamentare!D357</f>
        <v>680</v>
      </c>
      <c r="F256" s="56">
        <f>Fundamentare!E357</f>
        <v>680</v>
      </c>
      <c r="G256" s="56">
        <f>Fundamentare!F357</f>
        <v>0</v>
      </c>
      <c r="H256" s="56">
        <f>Fundamentare!G357</f>
        <v>0</v>
      </c>
      <c r="I256" s="56">
        <f>Fundamentare!H357</f>
        <v>0</v>
      </c>
      <c r="J256" s="56">
        <f>Fundamentare!I357</f>
        <v>0</v>
      </c>
      <c r="K256" s="56">
        <f>Fundamentare!J357</f>
        <v>0</v>
      </c>
      <c r="L256" s="56">
        <f t="shared" si="60"/>
        <v>0</v>
      </c>
    </row>
    <row r="257" spans="1:12" ht="18">
      <c r="A257" s="180" t="s">
        <v>530</v>
      </c>
      <c r="B257" s="184" t="s">
        <v>670</v>
      </c>
      <c r="C257" s="56">
        <f>Fundamentare!B358</f>
        <v>0</v>
      </c>
      <c r="D257" s="56">
        <f>Fundamentare!C358</f>
        <v>0</v>
      </c>
      <c r="E257" s="56">
        <f>Fundamentare!D358</f>
        <v>0</v>
      </c>
      <c r="F257" s="56">
        <f>Fundamentare!E358</f>
        <v>0</v>
      </c>
      <c r="G257" s="56">
        <f>Fundamentare!F358</f>
        <v>711</v>
      </c>
      <c r="H257" s="56">
        <f>Fundamentare!G358</f>
        <v>0</v>
      </c>
      <c r="I257" s="56">
        <f>Fundamentare!H358</f>
        <v>0</v>
      </c>
      <c r="J257" s="56">
        <f>Fundamentare!I358</f>
        <v>0</v>
      </c>
      <c r="K257" s="56">
        <f>Fundamentare!J358</f>
        <v>711</v>
      </c>
      <c r="L257" s="56">
        <f t="shared" si="60"/>
        <v>0</v>
      </c>
    </row>
    <row r="258" spans="1:12" ht="18">
      <c r="A258" s="180"/>
      <c r="B258" s="184"/>
      <c r="C258" s="56"/>
      <c r="D258" s="56"/>
      <c r="E258" s="56"/>
      <c r="F258" s="56"/>
      <c r="G258" s="56"/>
      <c r="H258" s="56"/>
      <c r="I258" s="56"/>
      <c r="J258" s="56"/>
      <c r="K258" s="56"/>
      <c r="L258" s="56">
        <f t="shared" si="60"/>
        <v>0</v>
      </c>
    </row>
    <row r="259" spans="1:12" ht="18">
      <c r="A259" s="182" t="s">
        <v>317</v>
      </c>
      <c r="B259" s="184">
        <v>79</v>
      </c>
      <c r="C259" s="56">
        <f aca="true" t="shared" si="70" ref="C259:K261">C260</f>
        <v>0</v>
      </c>
      <c r="D259" s="56">
        <f t="shared" si="70"/>
        <v>0</v>
      </c>
      <c r="E259" s="56">
        <f t="shared" si="70"/>
        <v>0</v>
      </c>
      <c r="F259" s="56">
        <f t="shared" si="70"/>
        <v>0</v>
      </c>
      <c r="G259" s="56">
        <f t="shared" si="70"/>
        <v>0</v>
      </c>
      <c r="H259" s="56">
        <f t="shared" si="70"/>
        <v>0</v>
      </c>
      <c r="I259" s="56">
        <f t="shared" si="70"/>
        <v>0</v>
      </c>
      <c r="J259" s="56">
        <f t="shared" si="70"/>
        <v>0</v>
      </c>
      <c r="K259" s="56">
        <f t="shared" si="70"/>
        <v>0</v>
      </c>
      <c r="L259" s="56">
        <f t="shared" si="60"/>
        <v>0</v>
      </c>
    </row>
    <row r="260" spans="1:12" ht="18">
      <c r="A260" s="182" t="s">
        <v>531</v>
      </c>
      <c r="B260" s="184">
        <v>81</v>
      </c>
      <c r="C260" s="56">
        <f t="shared" si="70"/>
        <v>0</v>
      </c>
      <c r="D260" s="56">
        <f t="shared" si="70"/>
        <v>0</v>
      </c>
      <c r="E260" s="56">
        <f t="shared" si="70"/>
        <v>0</v>
      </c>
      <c r="F260" s="56">
        <f t="shared" si="70"/>
        <v>0</v>
      </c>
      <c r="G260" s="56">
        <f t="shared" si="70"/>
        <v>0</v>
      </c>
      <c r="H260" s="56">
        <f t="shared" si="70"/>
        <v>0</v>
      </c>
      <c r="I260" s="56">
        <f t="shared" si="70"/>
        <v>0</v>
      </c>
      <c r="J260" s="56">
        <f t="shared" si="70"/>
        <v>0</v>
      </c>
      <c r="K260" s="56">
        <f t="shared" si="70"/>
        <v>0</v>
      </c>
      <c r="L260" s="56">
        <f t="shared" si="60"/>
        <v>0</v>
      </c>
    </row>
    <row r="261" spans="1:12" ht="18">
      <c r="A261" s="180" t="s">
        <v>532</v>
      </c>
      <c r="B261" s="184" t="s">
        <v>549</v>
      </c>
      <c r="C261" s="56">
        <f t="shared" si="70"/>
        <v>0</v>
      </c>
      <c r="D261" s="56">
        <f t="shared" si="70"/>
        <v>0</v>
      </c>
      <c r="E261" s="56">
        <f t="shared" si="70"/>
        <v>0</v>
      </c>
      <c r="F261" s="56">
        <f t="shared" si="70"/>
        <v>0</v>
      </c>
      <c r="G261" s="56">
        <f t="shared" si="70"/>
        <v>0</v>
      </c>
      <c r="H261" s="56">
        <f t="shared" si="70"/>
        <v>0</v>
      </c>
      <c r="I261" s="56">
        <f t="shared" si="70"/>
        <v>0</v>
      </c>
      <c r="J261" s="56">
        <f t="shared" si="70"/>
        <v>0</v>
      </c>
      <c r="K261" s="56">
        <f t="shared" si="70"/>
        <v>0</v>
      </c>
      <c r="L261" s="56">
        <f t="shared" si="60"/>
        <v>0</v>
      </c>
    </row>
    <row r="262" spans="1:12" ht="18">
      <c r="A262" s="180" t="s">
        <v>533</v>
      </c>
      <c r="B262" s="184" t="s">
        <v>550</v>
      </c>
      <c r="C262" s="56">
        <f>Fundamentare!B349</f>
        <v>0</v>
      </c>
      <c r="D262" s="56">
        <f>Fundamentare!C349</f>
        <v>0</v>
      </c>
      <c r="E262" s="56">
        <f>Fundamentare!D349</f>
        <v>0</v>
      </c>
      <c r="F262" s="56">
        <f>Fundamentare!E349</f>
        <v>0</v>
      </c>
      <c r="G262" s="56">
        <f>Fundamentare!F349</f>
        <v>0</v>
      </c>
      <c r="H262" s="56">
        <f>Fundamentare!G349</f>
        <v>0</v>
      </c>
      <c r="I262" s="56">
        <f>Fundamentare!H349</f>
        <v>0</v>
      </c>
      <c r="J262" s="56">
        <f>Fundamentare!I349</f>
        <v>0</v>
      </c>
      <c r="K262" s="56">
        <f>Fundamentare!J349</f>
        <v>0</v>
      </c>
      <c r="L262" s="56">
        <f t="shared" si="60"/>
        <v>0</v>
      </c>
    </row>
    <row r="263" spans="1:12" ht="18">
      <c r="A263" s="180"/>
      <c r="B263" s="200"/>
      <c r="C263" s="56"/>
      <c r="D263" s="56"/>
      <c r="E263" s="56"/>
      <c r="F263" s="56"/>
      <c r="G263" s="56"/>
      <c r="H263" s="56"/>
      <c r="I263" s="56"/>
      <c r="J263" s="56"/>
      <c r="K263" s="56"/>
      <c r="L263" s="56">
        <f t="shared" si="60"/>
        <v>0</v>
      </c>
    </row>
    <row r="264" spans="1:12" ht="18">
      <c r="A264" s="182" t="s">
        <v>407</v>
      </c>
      <c r="B264" s="200"/>
      <c r="C264" s="56"/>
      <c r="D264" s="56"/>
      <c r="E264" s="56"/>
      <c r="F264" s="56"/>
      <c r="G264" s="56"/>
      <c r="H264" s="56"/>
      <c r="I264" s="56"/>
      <c r="J264" s="56"/>
      <c r="K264" s="56"/>
      <c r="L264" s="56">
        <f t="shared" si="60"/>
        <v>0</v>
      </c>
    </row>
    <row r="265" spans="1:12" ht="18">
      <c r="A265" s="182"/>
      <c r="B265" s="200"/>
      <c r="C265" s="56"/>
      <c r="D265" s="56"/>
      <c r="E265" s="56"/>
      <c r="F265" s="56"/>
      <c r="G265" s="56"/>
      <c r="H265" s="56"/>
      <c r="I265" s="56"/>
      <c r="J265" s="56"/>
      <c r="K265" s="56"/>
      <c r="L265" s="56">
        <f t="shared" si="60"/>
        <v>0</v>
      </c>
    </row>
    <row r="266" spans="1:12" ht="45.75">
      <c r="A266" s="186" t="s">
        <v>418</v>
      </c>
      <c r="B266" s="184" t="s">
        <v>680</v>
      </c>
      <c r="C266" s="67">
        <f aca="true" t="shared" si="71" ref="C266:K266">C268+C272+C274+C276+C279</f>
        <v>10131.331000000002</v>
      </c>
      <c r="D266" s="67">
        <f t="shared" si="71"/>
        <v>103521.81399200001</v>
      </c>
      <c r="E266" s="67">
        <f t="shared" si="71"/>
        <v>104271.81399200001</v>
      </c>
      <c r="F266" s="67">
        <f t="shared" si="71"/>
        <v>30772.296000000002</v>
      </c>
      <c r="G266" s="67">
        <f t="shared" si="71"/>
        <v>105366.64</v>
      </c>
      <c r="H266" s="67">
        <f t="shared" si="71"/>
        <v>120438.832</v>
      </c>
      <c r="I266" s="67">
        <f t="shared" si="71"/>
        <v>127598.09195999999</v>
      </c>
      <c r="J266" s="67">
        <f t="shared" si="71"/>
        <v>135702.20744491997</v>
      </c>
      <c r="K266" s="67">
        <f t="shared" si="71"/>
        <v>105677.97511</v>
      </c>
      <c r="L266" s="56">
        <f t="shared" si="60"/>
        <v>311.33511</v>
      </c>
    </row>
    <row r="267" spans="1:12" ht="18">
      <c r="A267" s="182"/>
      <c r="B267" s="200"/>
      <c r="C267" s="56"/>
      <c r="D267" s="56"/>
      <c r="E267" s="56"/>
      <c r="F267" s="56"/>
      <c r="G267" s="56"/>
      <c r="H267" s="56"/>
      <c r="I267" s="56"/>
      <c r="J267" s="56"/>
      <c r="K267" s="56"/>
      <c r="L267" s="56">
        <f t="shared" si="60"/>
        <v>0</v>
      </c>
    </row>
    <row r="268" spans="1:12" ht="30.75">
      <c r="A268" s="186" t="s">
        <v>534</v>
      </c>
      <c r="B268" s="184" t="s">
        <v>686</v>
      </c>
      <c r="C268" s="56">
        <f aca="true" t="shared" si="72" ref="C268:K268">C269+C270</f>
        <v>5833.7210000000005</v>
      </c>
      <c r="D268" s="56">
        <f t="shared" si="72"/>
        <v>69454.153992</v>
      </c>
      <c r="E268" s="56">
        <f t="shared" si="72"/>
        <v>69454.153992</v>
      </c>
      <c r="F268" s="56">
        <f t="shared" si="72"/>
        <v>5127.99</v>
      </c>
      <c r="G268" s="56">
        <f t="shared" si="72"/>
        <v>69371.54000000001</v>
      </c>
      <c r="H268" s="56">
        <f t="shared" si="72"/>
        <v>83967.5</v>
      </c>
      <c r="I268" s="56">
        <f t="shared" si="72"/>
        <v>90721.9</v>
      </c>
      <c r="J268" s="56">
        <f t="shared" si="72"/>
        <v>97453.04999999999</v>
      </c>
      <c r="K268" s="56">
        <f t="shared" si="72"/>
        <v>69682.87511000001</v>
      </c>
      <c r="L268" s="56">
        <f t="shared" si="60"/>
        <v>311.33511</v>
      </c>
    </row>
    <row r="269" spans="1:12" ht="30.75">
      <c r="A269" s="198" t="s">
        <v>535</v>
      </c>
      <c r="B269" s="184" t="s">
        <v>687</v>
      </c>
      <c r="C269" s="56">
        <f>Fundamentare!B224</f>
        <v>4748.091</v>
      </c>
      <c r="D269" s="56">
        <f>Fundamentare!C224</f>
        <v>36900.2</v>
      </c>
      <c r="E269" s="56">
        <f>Fundamentare!D224</f>
        <v>36900.2</v>
      </c>
      <c r="F269" s="56">
        <f>Fundamentare!E224</f>
        <v>3196</v>
      </c>
      <c r="G269" s="56">
        <f>Fundamentare!F224</f>
        <v>38339.66</v>
      </c>
      <c r="H269" s="56">
        <f>Fundamentare!G224</f>
        <v>44643</v>
      </c>
      <c r="I269" s="56">
        <f>Fundamentare!H224</f>
        <v>48379</v>
      </c>
      <c r="J269" s="56">
        <f>Fundamentare!I224</f>
        <v>52204.35</v>
      </c>
      <c r="K269" s="56">
        <f>Fundamentare!J224</f>
        <v>38650.99511</v>
      </c>
      <c r="L269" s="56">
        <f t="shared" si="60"/>
        <v>311.33511</v>
      </c>
    </row>
    <row r="270" spans="1:12" ht="45.75">
      <c r="A270" s="198" t="s">
        <v>536</v>
      </c>
      <c r="B270" s="184" t="s">
        <v>688</v>
      </c>
      <c r="C270" s="56">
        <f>Fundamentare!B254+Fundamentare!B243+Fundamentare!B259</f>
        <v>1085.63</v>
      </c>
      <c r="D270" s="56">
        <f>Fundamentare!C254+Fundamentare!C243+Fundamentare!C259</f>
        <v>32553.953992000002</v>
      </c>
      <c r="E270" s="56">
        <f>Fundamentare!D254+Fundamentare!D243+Fundamentare!D259</f>
        <v>32553.953992000002</v>
      </c>
      <c r="F270" s="56">
        <f>Fundamentare!E254+Fundamentare!E243+Fundamentare!E259</f>
        <v>1931.9900000000002</v>
      </c>
      <c r="G270" s="56">
        <f>Fundamentare!F254+Fundamentare!F243+Fundamentare!F259</f>
        <v>31031.88</v>
      </c>
      <c r="H270" s="56">
        <f>Fundamentare!G254+Fundamentare!G243+Fundamentare!G259</f>
        <v>39324.5</v>
      </c>
      <c r="I270" s="56">
        <f>Fundamentare!H254+Fundamentare!H243+Fundamentare!H259</f>
        <v>42342.9</v>
      </c>
      <c r="J270" s="56">
        <f>Fundamentare!I254+Fundamentare!I243+Fundamentare!I259</f>
        <v>45248.7</v>
      </c>
      <c r="K270" s="56">
        <f>Fundamentare!J254+Fundamentare!J243+Fundamentare!J259</f>
        <v>31031.88</v>
      </c>
      <c r="L270" s="56">
        <f t="shared" si="60"/>
        <v>0</v>
      </c>
    </row>
    <row r="271" spans="1:12" ht="18">
      <c r="A271" s="198"/>
      <c r="B271" s="184"/>
      <c r="C271" s="56"/>
      <c r="D271" s="56"/>
      <c r="E271" s="56"/>
      <c r="F271" s="56"/>
      <c r="G271" s="56"/>
      <c r="H271" s="56"/>
      <c r="I271" s="56"/>
      <c r="J271" s="56"/>
      <c r="K271" s="56"/>
      <c r="L271" s="56">
        <f t="shared" si="60"/>
        <v>0</v>
      </c>
    </row>
    <row r="272" spans="1:12" ht="30.75">
      <c r="A272" s="198" t="s">
        <v>537</v>
      </c>
      <c r="B272" s="151" t="s">
        <v>689</v>
      </c>
      <c r="C272" s="56">
        <f>Fundamentare!B248+Fundamentare!B265</f>
        <v>62.679</v>
      </c>
      <c r="D272" s="56">
        <f>Fundamentare!C248+Fundamentare!C265</f>
        <v>8242.86</v>
      </c>
      <c r="E272" s="56">
        <f>Fundamentare!D248+Fundamentare!D265</f>
        <v>8242.86</v>
      </c>
      <c r="F272" s="56">
        <f>Fundamentare!E248+Fundamentare!E265</f>
        <v>700.306</v>
      </c>
      <c r="G272" s="56">
        <f>Fundamentare!F248+Fundamentare!F265</f>
        <v>8570.7</v>
      </c>
      <c r="H272" s="56">
        <f>Fundamentare!G248+Fundamentare!G265</f>
        <v>9069.4</v>
      </c>
      <c r="I272" s="56">
        <f>Fundamentare!H248+Fundamentare!H265</f>
        <v>9793.66</v>
      </c>
      <c r="J272" s="56">
        <f>Fundamentare!I248+Fundamentare!I265</f>
        <v>10490.12</v>
      </c>
      <c r="K272" s="56">
        <f>Fundamentare!J248+Fundamentare!J265</f>
        <v>8570.7</v>
      </c>
      <c r="L272" s="56">
        <f t="shared" si="60"/>
        <v>0</v>
      </c>
    </row>
    <row r="273" spans="1:12" ht="18">
      <c r="A273" s="198"/>
      <c r="B273" s="151"/>
      <c r="C273" s="56"/>
      <c r="D273" s="56"/>
      <c r="E273" s="56"/>
      <c r="F273" s="56"/>
      <c r="G273" s="56"/>
      <c r="H273" s="56"/>
      <c r="I273" s="56"/>
      <c r="J273" s="56"/>
      <c r="K273" s="56"/>
      <c r="L273" s="56">
        <f t="shared" si="60"/>
        <v>0</v>
      </c>
    </row>
    <row r="274" spans="1:12" ht="30.75">
      <c r="A274" s="198" t="s">
        <v>538</v>
      </c>
      <c r="B274" s="184" t="s">
        <v>690</v>
      </c>
      <c r="C274" s="56">
        <f>Fundamentare!B238</f>
        <v>439.712</v>
      </c>
      <c r="D274" s="56">
        <f>Fundamentare!C238</f>
        <v>2130.8</v>
      </c>
      <c r="E274" s="56">
        <f>Fundamentare!D238</f>
        <v>2130.8</v>
      </c>
      <c r="F274" s="56">
        <f>Fundamentare!E238</f>
        <v>1000</v>
      </c>
      <c r="G274" s="56">
        <f>Fundamentare!F238</f>
        <v>2400.4</v>
      </c>
      <c r="H274" s="56">
        <f>Fundamentare!G238</f>
        <v>2638</v>
      </c>
      <c r="I274" s="56">
        <f>Fundamentare!H238</f>
        <v>2879.8</v>
      </c>
      <c r="J274" s="56">
        <f>Fundamentare!I238</f>
        <v>3145.28</v>
      </c>
      <c r="K274" s="56">
        <f>Fundamentare!J238</f>
        <v>2400.4</v>
      </c>
      <c r="L274" s="56">
        <f t="shared" si="60"/>
        <v>0</v>
      </c>
    </row>
    <row r="275" spans="1:12" ht="18">
      <c r="A275" s="198"/>
      <c r="B275" s="184"/>
      <c r="C275" s="56"/>
      <c r="D275" s="56"/>
      <c r="E275" s="56"/>
      <c r="F275" s="56"/>
      <c r="G275" s="56"/>
      <c r="H275" s="56"/>
      <c r="I275" s="56"/>
      <c r="J275" s="56"/>
      <c r="K275" s="56"/>
      <c r="L275" s="56">
        <f t="shared" si="60"/>
        <v>0</v>
      </c>
    </row>
    <row r="276" spans="1:12" ht="30.75">
      <c r="A276" s="198" t="s">
        <v>539</v>
      </c>
      <c r="B276" s="205" t="s">
        <v>691</v>
      </c>
      <c r="C276" s="56">
        <f aca="true" t="shared" si="73" ref="C276:K276">C277</f>
        <v>29.204</v>
      </c>
      <c r="D276" s="56">
        <f t="shared" si="73"/>
        <v>12353</v>
      </c>
      <c r="E276" s="56">
        <f t="shared" si="73"/>
        <v>12353</v>
      </c>
      <c r="F276" s="56">
        <f t="shared" si="73"/>
        <v>12353</v>
      </c>
      <c r="G276" s="56">
        <f t="shared" si="73"/>
        <v>11752</v>
      </c>
      <c r="H276" s="56">
        <f t="shared" si="73"/>
        <v>11000</v>
      </c>
      <c r="I276" s="56">
        <f t="shared" si="73"/>
        <v>10000</v>
      </c>
      <c r="J276" s="56">
        <f t="shared" si="73"/>
        <v>10000</v>
      </c>
      <c r="K276" s="56">
        <f t="shared" si="73"/>
        <v>11752</v>
      </c>
      <c r="L276" s="56">
        <f t="shared" si="60"/>
        <v>0</v>
      </c>
    </row>
    <row r="277" spans="1:12" ht="30.75">
      <c r="A277" s="198" t="s">
        <v>540</v>
      </c>
      <c r="B277" s="151" t="s">
        <v>692</v>
      </c>
      <c r="C277" s="56">
        <f>Fundamentare!B270</f>
        <v>29.204</v>
      </c>
      <c r="D277" s="56">
        <f>Fundamentare!C270</f>
        <v>12353</v>
      </c>
      <c r="E277" s="56">
        <f>Fundamentare!D270</f>
        <v>12353</v>
      </c>
      <c r="F277" s="56">
        <f>Fundamentare!E270</f>
        <v>12353</v>
      </c>
      <c r="G277" s="56">
        <f>Fundamentare!F270</f>
        <v>11752</v>
      </c>
      <c r="H277" s="56">
        <f>Fundamentare!G270</f>
        <v>11000</v>
      </c>
      <c r="I277" s="56">
        <f>Fundamentare!H270</f>
        <v>10000</v>
      </c>
      <c r="J277" s="56">
        <f>Fundamentare!I270</f>
        <v>10000</v>
      </c>
      <c r="K277" s="56">
        <f>Fundamentare!J270</f>
        <v>11752</v>
      </c>
      <c r="L277" s="56">
        <f t="shared" si="60"/>
        <v>0</v>
      </c>
    </row>
    <row r="278" spans="1:12" ht="18">
      <c r="A278" s="198"/>
      <c r="B278" s="151"/>
      <c r="C278" s="56"/>
      <c r="D278" s="57"/>
      <c r="E278" s="56"/>
      <c r="F278" s="56"/>
      <c r="G278" s="56"/>
      <c r="H278" s="56"/>
      <c r="I278" s="56"/>
      <c r="J278" s="56"/>
      <c r="K278" s="56"/>
      <c r="L278" s="56">
        <f t="shared" si="60"/>
        <v>0</v>
      </c>
    </row>
    <row r="279" spans="1:12" ht="30.75">
      <c r="A279" s="198" t="s">
        <v>541</v>
      </c>
      <c r="B279" s="184" t="s">
        <v>693</v>
      </c>
      <c r="C279" s="56">
        <f aca="true" t="shared" si="74" ref="C279:K279">C280</f>
        <v>3766.0150000000003</v>
      </c>
      <c r="D279" s="56">
        <f t="shared" si="74"/>
        <v>11341</v>
      </c>
      <c r="E279" s="56">
        <f t="shared" si="74"/>
        <v>12091</v>
      </c>
      <c r="F279" s="56">
        <f t="shared" si="74"/>
        <v>11591</v>
      </c>
      <c r="G279" s="56">
        <f t="shared" si="74"/>
        <v>13272</v>
      </c>
      <c r="H279" s="56">
        <f t="shared" si="74"/>
        <v>13763.931999999999</v>
      </c>
      <c r="I279" s="56">
        <f t="shared" si="74"/>
        <v>14202.731959999997</v>
      </c>
      <c r="J279" s="56">
        <f t="shared" si="74"/>
        <v>14613.75744492</v>
      </c>
      <c r="K279" s="56">
        <f t="shared" si="74"/>
        <v>13272</v>
      </c>
      <c r="L279" s="56">
        <f t="shared" si="60"/>
        <v>0</v>
      </c>
    </row>
    <row r="280" spans="1:12" ht="30.75">
      <c r="A280" s="198" t="s">
        <v>545</v>
      </c>
      <c r="B280" s="184" t="s">
        <v>694</v>
      </c>
      <c r="C280" s="56">
        <f>Fundamentare!B277</f>
        <v>3766.0150000000003</v>
      </c>
      <c r="D280" s="56">
        <f>Fundamentare!C277</f>
        <v>11341</v>
      </c>
      <c r="E280" s="56">
        <f>Fundamentare!D277</f>
        <v>12091</v>
      </c>
      <c r="F280" s="56">
        <f>Fundamentare!E277</f>
        <v>11591</v>
      </c>
      <c r="G280" s="56">
        <f>Fundamentare!F277</f>
        <v>13272</v>
      </c>
      <c r="H280" s="56">
        <f>Fundamentare!G277</f>
        <v>13763.931999999999</v>
      </c>
      <c r="I280" s="56">
        <f>Fundamentare!H277</f>
        <v>14202.731959999997</v>
      </c>
      <c r="J280" s="56">
        <f>Fundamentare!I277</f>
        <v>14613.75744492</v>
      </c>
      <c r="K280" s="56">
        <f>Fundamentare!J277</f>
        <v>13272</v>
      </c>
      <c r="L280" s="56">
        <f t="shared" si="60"/>
        <v>0</v>
      </c>
    </row>
    <row r="281" spans="1:12" ht="18">
      <c r="A281" s="190"/>
      <c r="B281" s="184"/>
      <c r="C281" s="56"/>
      <c r="D281" s="56"/>
      <c r="E281" s="56"/>
      <c r="F281" s="56"/>
      <c r="G281" s="97"/>
      <c r="H281" s="56"/>
      <c r="I281" s="97"/>
      <c r="J281" s="97"/>
      <c r="K281" s="97"/>
      <c r="L281" s="56">
        <f t="shared" si="60"/>
        <v>0</v>
      </c>
    </row>
    <row r="282" spans="1:12" ht="18">
      <c r="A282" s="206" t="s">
        <v>546</v>
      </c>
      <c r="B282" s="207"/>
      <c r="C282" s="59">
        <f aca="true" t="shared" si="75" ref="C282:K282">SUM(C15-C17)</f>
        <v>-120518.62099999562</v>
      </c>
      <c r="D282" s="59">
        <f t="shared" si="75"/>
        <v>457114.14600799605</v>
      </c>
      <c r="E282" s="59">
        <f t="shared" si="75"/>
        <v>827184.1560079977</v>
      </c>
      <c r="F282" s="59">
        <f t="shared" si="75"/>
        <v>827183.2399999984</v>
      </c>
      <c r="G282" s="59">
        <f t="shared" si="75"/>
        <v>278610.23999999464</v>
      </c>
      <c r="H282" s="59">
        <f t="shared" si="75"/>
        <v>463528.91600000113</v>
      </c>
      <c r="I282" s="59">
        <f t="shared" si="75"/>
        <v>539672.3368799984</v>
      </c>
      <c r="J282" s="59">
        <f t="shared" si="75"/>
        <v>612228.568654161</v>
      </c>
      <c r="K282" s="59">
        <f t="shared" si="75"/>
        <v>257058.90488999337</v>
      </c>
      <c r="L282" s="56">
        <f t="shared" si="60"/>
        <v>-21551.335110001266</v>
      </c>
    </row>
    <row r="283" spans="1:12" ht="18">
      <c r="A283" s="208"/>
      <c r="B283" s="209"/>
      <c r="C283" s="210"/>
      <c r="D283" s="210"/>
      <c r="E283" s="210"/>
      <c r="F283" s="210"/>
      <c r="G283" s="211"/>
      <c r="H283" s="57"/>
      <c r="I283" s="97"/>
      <c r="J283" s="97"/>
      <c r="K283" s="212"/>
      <c r="L283" s="99"/>
    </row>
    <row r="284" spans="3:12" ht="18">
      <c r="C284" s="56"/>
      <c r="D284" s="56"/>
      <c r="E284" s="56"/>
      <c r="F284" s="56"/>
      <c r="G284" s="97"/>
      <c r="H284" s="56"/>
      <c r="I284" s="97"/>
      <c r="J284" s="97"/>
      <c r="K284" s="99"/>
      <c r="L284" s="99"/>
    </row>
    <row r="285" spans="2:12" ht="18">
      <c r="B285" s="189"/>
      <c r="C285" s="56"/>
      <c r="D285" s="56"/>
      <c r="E285" s="56"/>
      <c r="F285" s="56"/>
      <c r="G285" s="97"/>
      <c r="H285" s="56"/>
      <c r="I285" s="97"/>
      <c r="J285" s="97"/>
      <c r="K285" s="99"/>
      <c r="L285" s="99"/>
    </row>
    <row r="286" spans="3:12" ht="18">
      <c r="C286" s="56"/>
      <c r="D286" s="56"/>
      <c r="E286" s="56"/>
      <c r="F286" s="56"/>
      <c r="G286" s="97"/>
      <c r="H286" s="56"/>
      <c r="I286" s="97"/>
      <c r="J286" s="97"/>
      <c r="K286" s="99"/>
      <c r="L286" s="99"/>
    </row>
    <row r="287" spans="3:12" ht="18">
      <c r="C287" s="56"/>
      <c r="D287" s="56"/>
      <c r="E287" s="56"/>
      <c r="F287" s="56"/>
      <c r="G287" s="97"/>
      <c r="H287" s="56"/>
      <c r="I287" s="97"/>
      <c r="J287" s="97"/>
      <c r="K287" s="99"/>
      <c r="L287" s="99"/>
    </row>
    <row r="288" spans="3:12" ht="18">
      <c r="C288" s="56"/>
      <c r="D288" s="56"/>
      <c r="E288" s="56"/>
      <c r="F288" s="56"/>
      <c r="G288" s="97"/>
      <c r="H288" s="56"/>
      <c r="I288" s="97"/>
      <c r="J288" s="97"/>
      <c r="K288" s="99"/>
      <c r="L288" s="99"/>
    </row>
    <row r="289" spans="3:12" ht="18">
      <c r="C289" s="56"/>
      <c r="D289" s="56"/>
      <c r="E289" s="56"/>
      <c r="F289" s="56"/>
      <c r="G289" s="97"/>
      <c r="H289" s="56"/>
      <c r="I289" s="97"/>
      <c r="J289" s="97"/>
      <c r="K289" s="99"/>
      <c r="L289" s="99"/>
    </row>
    <row r="290" spans="3:12" ht="18">
      <c r="C290" s="56"/>
      <c r="D290" s="56"/>
      <c r="E290" s="56"/>
      <c r="F290" s="56"/>
      <c r="G290" s="97"/>
      <c r="H290" s="56"/>
      <c r="I290" s="97"/>
      <c r="J290" s="97"/>
      <c r="K290" s="99"/>
      <c r="L290" s="99"/>
    </row>
    <row r="291" spans="2:12" ht="18">
      <c r="B291" s="189"/>
      <c r="C291" s="56"/>
      <c r="D291" s="56"/>
      <c r="E291" s="56"/>
      <c r="F291" s="56"/>
      <c r="G291" s="97"/>
      <c r="H291" s="56"/>
      <c r="I291" s="97"/>
      <c r="J291" s="97"/>
      <c r="K291" s="99"/>
      <c r="L291" s="99"/>
    </row>
    <row r="292" spans="2:12" ht="18">
      <c r="B292" s="189"/>
      <c r="C292" s="56"/>
      <c r="D292" s="56"/>
      <c r="E292" s="56"/>
      <c r="F292" s="56"/>
      <c r="G292" s="97"/>
      <c r="H292" s="56"/>
      <c r="I292" s="97"/>
      <c r="J292" s="97"/>
      <c r="K292" s="99"/>
      <c r="L292" s="99"/>
    </row>
    <row r="293" spans="3:12" ht="18">
      <c r="C293" s="56"/>
      <c r="D293" s="56"/>
      <c r="E293" s="56"/>
      <c r="F293" s="56"/>
      <c r="G293" s="97"/>
      <c r="H293" s="56"/>
      <c r="I293" s="97"/>
      <c r="J293" s="97"/>
      <c r="K293" s="99"/>
      <c r="L293" s="99"/>
    </row>
    <row r="294" spans="2:12" ht="18">
      <c r="B294" s="151"/>
      <c r="C294" s="56"/>
      <c r="D294" s="56"/>
      <c r="E294" s="56"/>
      <c r="F294" s="56"/>
      <c r="G294" s="97"/>
      <c r="H294" s="56"/>
      <c r="I294" s="97"/>
      <c r="J294" s="97"/>
      <c r="K294" s="99"/>
      <c r="L294" s="99"/>
    </row>
    <row r="295" spans="2:12" ht="18">
      <c r="B295" s="189"/>
      <c r="C295" s="56"/>
      <c r="D295" s="56"/>
      <c r="E295" s="56"/>
      <c r="F295" s="56"/>
      <c r="G295" s="97"/>
      <c r="H295" s="56"/>
      <c r="I295" s="97"/>
      <c r="J295" s="97"/>
      <c r="K295" s="99"/>
      <c r="L295" s="99"/>
    </row>
    <row r="296" spans="2:12" ht="18">
      <c r="B296" s="184"/>
      <c r="C296" s="56"/>
      <c r="D296" s="56"/>
      <c r="E296" s="56"/>
      <c r="F296" s="56"/>
      <c r="G296" s="97"/>
      <c r="H296" s="56"/>
      <c r="I296" s="97"/>
      <c r="J296" s="97"/>
      <c r="K296" s="99"/>
      <c r="L296" s="99"/>
    </row>
    <row r="297" spans="2:12" ht="18">
      <c r="B297" s="184"/>
      <c r="C297" s="56"/>
      <c r="D297" s="56"/>
      <c r="E297" s="56"/>
      <c r="F297" s="56"/>
      <c r="G297" s="97"/>
      <c r="H297" s="56"/>
      <c r="I297" s="97"/>
      <c r="J297" s="97"/>
      <c r="K297" s="99"/>
      <c r="L297" s="99"/>
    </row>
    <row r="298" spans="2:12" ht="18">
      <c r="B298" s="184"/>
      <c r="C298" s="56"/>
      <c r="D298" s="56"/>
      <c r="E298" s="56"/>
      <c r="F298" s="56"/>
      <c r="G298" s="97"/>
      <c r="H298" s="56"/>
      <c r="I298" s="97"/>
      <c r="J298" s="97"/>
      <c r="K298" s="99"/>
      <c r="L298" s="99"/>
    </row>
    <row r="299" spans="2:12" ht="18">
      <c r="B299" s="184"/>
      <c r="C299" s="56"/>
      <c r="D299" s="56"/>
      <c r="E299" s="56"/>
      <c r="F299" s="56"/>
      <c r="G299" s="97"/>
      <c r="H299" s="56"/>
      <c r="I299" s="97"/>
      <c r="J299" s="97"/>
      <c r="K299" s="99"/>
      <c r="L299" s="99"/>
    </row>
    <row r="300" spans="2:12" ht="18">
      <c r="B300" s="184"/>
      <c r="C300" s="56"/>
      <c r="D300" s="56"/>
      <c r="E300" s="56"/>
      <c r="F300" s="56"/>
      <c r="G300" s="97"/>
      <c r="H300" s="56"/>
      <c r="I300" s="97"/>
      <c r="J300" s="97"/>
      <c r="K300" s="99"/>
      <c r="L300" s="99"/>
    </row>
    <row r="301" spans="2:12" ht="18">
      <c r="B301" s="184"/>
      <c r="C301" s="56"/>
      <c r="D301" s="56"/>
      <c r="E301" s="56"/>
      <c r="F301" s="56"/>
      <c r="G301" s="97"/>
      <c r="H301" s="56"/>
      <c r="I301" s="56"/>
      <c r="J301" s="97"/>
      <c r="K301" s="99"/>
      <c r="L301" s="99"/>
    </row>
    <row r="302" spans="2:12" ht="18">
      <c r="B302" s="184"/>
      <c r="C302" s="56"/>
      <c r="D302" s="56"/>
      <c r="E302" s="56"/>
      <c r="F302" s="56"/>
      <c r="G302" s="97"/>
      <c r="H302" s="56"/>
      <c r="I302" s="56"/>
      <c r="J302" s="97"/>
      <c r="K302" s="99"/>
      <c r="L302" s="99"/>
    </row>
    <row r="303" spans="2:12" ht="18">
      <c r="B303" s="184"/>
      <c r="C303" s="56"/>
      <c r="D303" s="56"/>
      <c r="E303" s="56"/>
      <c r="F303" s="56"/>
      <c r="G303" s="97"/>
      <c r="H303" s="56"/>
      <c r="I303" s="56"/>
      <c r="J303" s="97"/>
      <c r="K303" s="99"/>
      <c r="L303" s="99"/>
    </row>
    <row r="304" spans="2:12" ht="18">
      <c r="B304" s="184"/>
      <c r="C304" s="56"/>
      <c r="D304" s="56"/>
      <c r="E304" s="56"/>
      <c r="F304" s="56"/>
      <c r="G304" s="97"/>
      <c r="H304" s="56"/>
      <c r="I304" s="56"/>
      <c r="J304" s="97"/>
      <c r="K304" s="99"/>
      <c r="L304" s="99"/>
    </row>
    <row r="305" spans="2:12" ht="18">
      <c r="B305" s="184"/>
      <c r="C305" s="56"/>
      <c r="D305" s="56"/>
      <c r="E305" s="56"/>
      <c r="F305" s="56"/>
      <c r="G305" s="97"/>
      <c r="H305" s="56"/>
      <c r="I305" s="56"/>
      <c r="J305" s="97"/>
      <c r="K305" s="99"/>
      <c r="L305" s="99"/>
    </row>
    <row r="306" spans="2:12" ht="18">
      <c r="B306" s="184"/>
      <c r="C306" s="56"/>
      <c r="D306" s="56"/>
      <c r="E306" s="56"/>
      <c r="F306" s="56"/>
      <c r="G306" s="97"/>
      <c r="H306" s="56"/>
      <c r="I306" s="56"/>
      <c r="J306" s="166"/>
      <c r="K306" s="99"/>
      <c r="L306" s="99"/>
    </row>
    <row r="307" spans="2:12" ht="18">
      <c r="B307" s="184"/>
      <c r="C307" s="56"/>
      <c r="D307" s="56"/>
      <c r="E307" s="56"/>
      <c r="F307" s="56"/>
      <c r="G307" s="97"/>
      <c r="H307" s="56"/>
      <c r="I307" s="56"/>
      <c r="J307" s="213"/>
      <c r="K307" s="99"/>
      <c r="L307" s="99"/>
    </row>
    <row r="308" spans="2:12" ht="18">
      <c r="B308" s="184"/>
      <c r="C308" s="56"/>
      <c r="D308" s="56"/>
      <c r="E308" s="56"/>
      <c r="F308" s="56"/>
      <c r="G308" s="97"/>
      <c r="H308" s="56"/>
      <c r="I308" s="56"/>
      <c r="J308" s="214"/>
      <c r="K308" s="99"/>
      <c r="L308" s="99"/>
    </row>
    <row r="309" spans="3:12" ht="18">
      <c r="C309" s="99"/>
      <c r="D309" s="99"/>
      <c r="E309" s="99"/>
      <c r="F309" s="99"/>
      <c r="G309" s="99"/>
      <c r="H309" s="99"/>
      <c r="I309" s="99"/>
      <c r="J309" s="99"/>
      <c r="K309" s="99"/>
      <c r="L309" s="99"/>
    </row>
    <row r="310" spans="3:12" ht="18">
      <c r="C310" s="99"/>
      <c r="D310" s="99"/>
      <c r="E310" s="99"/>
      <c r="F310" s="99"/>
      <c r="G310" s="99"/>
      <c r="H310" s="99"/>
      <c r="I310" s="99"/>
      <c r="J310" s="99"/>
      <c r="K310" s="99"/>
      <c r="L310" s="99"/>
    </row>
    <row r="311" spans="3:12" ht="18">
      <c r="C311" s="99"/>
      <c r="D311" s="99"/>
      <c r="E311" s="99"/>
      <c r="F311" s="99"/>
      <c r="G311" s="99"/>
      <c r="H311" s="99"/>
      <c r="I311" s="99"/>
      <c r="J311" s="99"/>
      <c r="K311" s="99"/>
      <c r="L311" s="99"/>
    </row>
    <row r="312" spans="3:12" ht="18">
      <c r="C312" s="99"/>
      <c r="D312" s="99"/>
      <c r="E312" s="99"/>
      <c r="F312" s="99"/>
      <c r="G312" s="99"/>
      <c r="H312" s="99"/>
      <c r="I312" s="99"/>
      <c r="J312" s="99"/>
      <c r="K312" s="99"/>
      <c r="L312" s="99"/>
    </row>
    <row r="313" spans="3:12" ht="18">
      <c r="C313" s="99"/>
      <c r="D313" s="99"/>
      <c r="E313" s="99"/>
      <c r="F313" s="99"/>
      <c r="G313" s="99"/>
      <c r="H313" s="99"/>
      <c r="I313" s="99"/>
      <c r="J313" s="99"/>
      <c r="K313" s="99"/>
      <c r="L313" s="99"/>
    </row>
    <row r="314" spans="3:12" ht="18">
      <c r="C314" s="99"/>
      <c r="D314" s="99"/>
      <c r="E314" s="99"/>
      <c r="F314" s="99"/>
      <c r="G314" s="99"/>
      <c r="H314" s="99"/>
      <c r="I314" s="99"/>
      <c r="J314" s="99"/>
      <c r="K314" s="99"/>
      <c r="L314" s="99"/>
    </row>
    <row r="315" spans="3:12" ht="18">
      <c r="C315" s="99"/>
      <c r="D315" s="99"/>
      <c r="E315" s="99"/>
      <c r="F315" s="99"/>
      <c r="G315" s="99"/>
      <c r="H315" s="99"/>
      <c r="I315" s="99"/>
      <c r="J315" s="99"/>
      <c r="K315" s="99"/>
      <c r="L315" s="99"/>
    </row>
  </sheetData>
  <sheetProtection/>
  <printOptions horizontalCentered="1"/>
  <pageMargins left="0.7888888888888889" right="0.7875" top="1.0277777777777777" bottom="1.0416666666666667" header="0" footer="0"/>
  <pageSetup horizontalDpi="600" verticalDpi="600" orientation="portrait" paperSize="9" r:id="rId1"/>
  <headerFooter alignWithMargins="0">
    <oddHeader>&amp;L&amp;"Arial"&amp;12
&amp;C&amp;"Arial"&amp;10&amp;P</oddHeader>
    <oddFooter>&amp;L&amp;"Arial"&amp;8&amp;F&amp;C&amp;"Arial"&amp;12
&amp;R&amp;"Arial"&amp;8&amp;D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U541"/>
  <sheetViews>
    <sheetView tabSelected="1" zoomScalePageLayoutView="0" workbookViewId="0" topLeftCell="A10">
      <selection activeCell="A82" sqref="A82"/>
    </sheetView>
  </sheetViews>
  <sheetFormatPr defaultColWidth="9.6640625" defaultRowHeight="15"/>
  <cols>
    <col min="1" max="1" width="48.77734375" style="223" customWidth="1"/>
    <col min="2" max="2" width="6.3359375" style="260" bestFit="1" customWidth="1"/>
    <col min="3" max="3" width="7.77734375" style="260" bestFit="1" customWidth="1"/>
    <col min="4" max="4" width="6.88671875" style="260" bestFit="1" customWidth="1"/>
    <col min="5" max="5" width="9.4453125" style="260" customWidth="1"/>
    <col min="6" max="6" width="6.4453125" style="261" customWidth="1"/>
    <col min="7" max="7" width="6.77734375" style="261" customWidth="1"/>
    <col min="8" max="8" width="5.77734375" style="261" customWidth="1"/>
    <col min="9" max="22" width="9.6640625" style="261" customWidth="1"/>
    <col min="23" max="24" width="9.6640625" style="262" customWidth="1"/>
    <col min="25" max="16384" width="9.6640625" style="263" customWidth="1"/>
  </cols>
  <sheetData>
    <row r="1" spans="1:24" s="220" customFormat="1" ht="15">
      <c r="A1" s="215" t="s">
        <v>817</v>
      </c>
      <c r="B1" s="215"/>
      <c r="C1" s="216"/>
      <c r="D1" s="215"/>
      <c r="E1" s="215"/>
      <c r="F1" s="217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9"/>
      <c r="X1" s="219"/>
    </row>
    <row r="2" spans="1:24" s="220" customFormat="1" ht="15">
      <c r="A2" s="221" t="s">
        <v>697</v>
      </c>
      <c r="B2" s="222"/>
      <c r="C2" s="222"/>
      <c r="D2" s="222"/>
      <c r="E2" s="222"/>
      <c r="F2" s="217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9"/>
      <c r="X2" s="219"/>
    </row>
    <row r="3" spans="1:24" s="220" customFormat="1" ht="25.5" customHeight="1">
      <c r="A3" s="223"/>
      <c r="B3" s="222"/>
      <c r="C3" s="222"/>
      <c r="D3" s="222"/>
      <c r="E3" s="222"/>
      <c r="F3" s="217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9"/>
      <c r="X3" s="219"/>
    </row>
    <row r="4" spans="1:24" s="220" customFormat="1" ht="11.25" customHeight="1">
      <c r="A4" s="223"/>
      <c r="B4" s="222"/>
      <c r="C4" s="222"/>
      <c r="D4" s="222"/>
      <c r="E4" s="222"/>
      <c r="F4" s="217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9"/>
      <c r="X4" s="219"/>
    </row>
    <row r="5" spans="1:24" s="220" customFormat="1" ht="15">
      <c r="A5" s="362" t="s">
        <v>571</v>
      </c>
      <c r="B5" s="362"/>
      <c r="C5" s="362"/>
      <c r="D5" s="362"/>
      <c r="E5" s="362"/>
      <c r="F5" s="224"/>
      <c r="G5" s="224"/>
      <c r="H5" s="224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9"/>
      <c r="X5" s="219"/>
    </row>
    <row r="6" spans="1:24" s="220" customFormat="1" ht="15">
      <c r="A6" s="363" t="s">
        <v>698</v>
      </c>
      <c r="B6" s="363"/>
      <c r="C6" s="363"/>
      <c r="D6" s="363"/>
      <c r="E6" s="363"/>
      <c r="F6" s="224"/>
      <c r="G6" s="224"/>
      <c r="H6" s="224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9"/>
      <c r="X6" s="219"/>
    </row>
    <row r="7" spans="1:24" s="220" customFormat="1" ht="15">
      <c r="A7" s="363" t="s">
        <v>816</v>
      </c>
      <c r="B7" s="363"/>
      <c r="C7" s="363"/>
      <c r="D7" s="363"/>
      <c r="E7" s="363"/>
      <c r="F7" s="224"/>
      <c r="G7" s="224"/>
      <c r="H7" s="224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9"/>
      <c r="X7" s="219"/>
    </row>
    <row r="8" spans="1:24" s="220" customFormat="1" ht="29.25" customHeight="1">
      <c r="A8" s="264"/>
      <c r="B8" s="265"/>
      <c r="C8" s="265"/>
      <c r="D8" s="265"/>
      <c r="E8" s="265"/>
      <c r="F8" s="217"/>
      <c r="G8" s="218"/>
      <c r="H8" s="225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9"/>
      <c r="X8" s="219"/>
    </row>
    <row r="9" spans="1:24" s="220" customFormat="1" ht="15" customHeight="1">
      <c r="A9" s="266"/>
      <c r="B9" s="267"/>
      <c r="C9" s="267"/>
      <c r="D9" s="267"/>
      <c r="E9" s="268" t="s">
        <v>312</v>
      </c>
      <c r="F9" s="217"/>
      <c r="G9" s="218"/>
      <c r="H9" s="225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9"/>
      <c r="X9" s="219"/>
    </row>
    <row r="10" spans="1:24" s="220" customFormat="1" ht="15">
      <c r="A10" s="269"/>
      <c r="B10" s="270" t="s">
        <v>352</v>
      </c>
      <c r="C10" s="271" t="s">
        <v>552</v>
      </c>
      <c r="D10" s="272" t="s">
        <v>696</v>
      </c>
      <c r="E10" s="273" t="s">
        <v>313</v>
      </c>
      <c r="F10" s="226"/>
      <c r="G10" s="226"/>
      <c r="H10" s="226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9"/>
      <c r="X10" s="219"/>
    </row>
    <row r="11" spans="1:24" s="220" customFormat="1" ht="15">
      <c r="A11" s="274" t="s">
        <v>32</v>
      </c>
      <c r="B11" s="275">
        <v>2020</v>
      </c>
      <c r="C11" s="271" t="s">
        <v>553</v>
      </c>
      <c r="D11" s="276">
        <v>2022</v>
      </c>
      <c r="E11" s="273" t="s">
        <v>815</v>
      </c>
      <c r="F11" s="226"/>
      <c r="G11" s="226"/>
      <c r="H11" s="226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9"/>
      <c r="X11" s="219"/>
    </row>
    <row r="12" spans="1:24" s="220" customFormat="1" ht="15">
      <c r="A12" s="277"/>
      <c r="B12" s="278"/>
      <c r="C12" s="279" t="s">
        <v>814</v>
      </c>
      <c r="D12" s="280"/>
      <c r="E12" s="281" t="s">
        <v>814</v>
      </c>
      <c r="F12" s="227"/>
      <c r="G12" s="227"/>
      <c r="H12" s="227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9"/>
      <c r="X12" s="219"/>
    </row>
    <row r="13" spans="1:24" s="220" customFormat="1" ht="15">
      <c r="A13" s="282" t="s">
        <v>699</v>
      </c>
      <c r="B13" s="283">
        <v>1</v>
      </c>
      <c r="C13" s="284">
        <v>2</v>
      </c>
      <c r="D13" s="285">
        <v>3</v>
      </c>
      <c r="E13" s="286">
        <v>4</v>
      </c>
      <c r="F13" s="228"/>
      <c r="G13" s="228"/>
      <c r="H13" s="22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9"/>
      <c r="X13" s="219"/>
    </row>
    <row r="14" spans="1:24" s="220" customFormat="1" ht="20.25" customHeight="1">
      <c r="A14" s="269"/>
      <c r="B14" s="287"/>
      <c r="C14" s="287"/>
      <c r="D14" s="288"/>
      <c r="E14" s="288"/>
      <c r="F14" s="217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9"/>
      <c r="X14" s="219"/>
    </row>
    <row r="15" spans="1:255" s="229" customFormat="1" ht="15">
      <c r="A15" s="289" t="s">
        <v>712</v>
      </c>
      <c r="B15" s="290"/>
      <c r="C15" s="290"/>
      <c r="D15" s="273"/>
      <c r="E15" s="273"/>
      <c r="F15" s="217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9"/>
      <c r="X15" s="219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  <c r="AM15" s="220"/>
      <c r="AN15" s="220"/>
      <c r="AO15" s="220"/>
      <c r="AP15" s="220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  <c r="BA15" s="220"/>
      <c r="BB15" s="220"/>
      <c r="BC15" s="220"/>
      <c r="BD15" s="220"/>
      <c r="BE15" s="220"/>
      <c r="BF15" s="220"/>
      <c r="BG15" s="220"/>
      <c r="BH15" s="220"/>
      <c r="BI15" s="220"/>
      <c r="BJ15" s="220"/>
      <c r="BK15" s="220"/>
      <c r="BL15" s="220"/>
      <c r="BM15" s="220"/>
      <c r="BN15" s="220"/>
      <c r="BO15" s="220"/>
      <c r="BP15" s="220"/>
      <c r="BQ15" s="220"/>
      <c r="BR15" s="220"/>
      <c r="BS15" s="220"/>
      <c r="BT15" s="220"/>
      <c r="BU15" s="220"/>
      <c r="BV15" s="220"/>
      <c r="BW15" s="220"/>
      <c r="BX15" s="220"/>
      <c r="BY15" s="220"/>
      <c r="BZ15" s="220"/>
      <c r="CA15" s="220"/>
      <c r="CB15" s="220"/>
      <c r="CC15" s="220"/>
      <c r="CD15" s="220"/>
      <c r="CE15" s="220"/>
      <c r="CF15" s="220"/>
      <c r="CG15" s="220"/>
      <c r="CH15" s="220"/>
      <c r="CI15" s="220"/>
      <c r="CJ15" s="220"/>
      <c r="CK15" s="220"/>
      <c r="CL15" s="220"/>
      <c r="CM15" s="220"/>
      <c r="CN15" s="220"/>
      <c r="CO15" s="220"/>
      <c r="CP15" s="220"/>
      <c r="CQ15" s="220"/>
      <c r="CR15" s="220"/>
      <c r="CS15" s="220"/>
      <c r="CT15" s="220"/>
      <c r="CU15" s="220"/>
      <c r="CV15" s="220"/>
      <c r="CW15" s="220"/>
      <c r="CX15" s="220"/>
      <c r="CY15" s="220"/>
      <c r="CZ15" s="220"/>
      <c r="DA15" s="220"/>
      <c r="DB15" s="220"/>
      <c r="DC15" s="220"/>
      <c r="DD15" s="220"/>
      <c r="DE15" s="220"/>
      <c r="DF15" s="220"/>
      <c r="DG15" s="220"/>
      <c r="DH15" s="220"/>
      <c r="DI15" s="220"/>
      <c r="DJ15" s="220"/>
      <c r="DK15" s="220"/>
      <c r="DL15" s="220"/>
      <c r="DM15" s="220"/>
      <c r="DN15" s="220"/>
      <c r="DO15" s="220"/>
      <c r="DP15" s="220"/>
      <c r="DQ15" s="220"/>
      <c r="DR15" s="220"/>
      <c r="DS15" s="220"/>
      <c r="DT15" s="220"/>
      <c r="DU15" s="220"/>
      <c r="DV15" s="220"/>
      <c r="DW15" s="220"/>
      <c r="DX15" s="220"/>
      <c r="DY15" s="220"/>
      <c r="DZ15" s="220"/>
      <c r="EA15" s="220"/>
      <c r="EB15" s="220"/>
      <c r="EC15" s="220"/>
      <c r="ED15" s="220"/>
      <c r="EE15" s="220"/>
      <c r="EF15" s="220"/>
      <c r="EG15" s="220"/>
      <c r="EH15" s="220"/>
      <c r="EI15" s="220"/>
      <c r="EJ15" s="220"/>
      <c r="EK15" s="220"/>
      <c r="EL15" s="220"/>
      <c r="EM15" s="220"/>
      <c r="EN15" s="220"/>
      <c r="EO15" s="220"/>
      <c r="EP15" s="220"/>
      <c r="EQ15" s="220"/>
      <c r="ER15" s="220"/>
      <c r="ES15" s="220"/>
      <c r="ET15" s="220"/>
      <c r="EU15" s="220"/>
      <c r="EV15" s="220"/>
      <c r="EW15" s="220"/>
      <c r="EX15" s="220"/>
      <c r="EY15" s="220"/>
      <c r="EZ15" s="220"/>
      <c r="FA15" s="220"/>
      <c r="FB15" s="220"/>
      <c r="FC15" s="220"/>
      <c r="FD15" s="220"/>
      <c r="FE15" s="220"/>
      <c r="FF15" s="220"/>
      <c r="FG15" s="220"/>
      <c r="FH15" s="220"/>
      <c r="FI15" s="220"/>
      <c r="FJ15" s="220"/>
      <c r="FK15" s="220"/>
      <c r="FL15" s="220"/>
      <c r="FM15" s="220"/>
      <c r="FN15" s="220"/>
      <c r="FO15" s="220"/>
      <c r="FP15" s="220"/>
      <c r="FQ15" s="220"/>
      <c r="FR15" s="220"/>
      <c r="FS15" s="220"/>
      <c r="FT15" s="220"/>
      <c r="FU15" s="220"/>
      <c r="FV15" s="220"/>
      <c r="FW15" s="220"/>
      <c r="FX15" s="220"/>
      <c r="FY15" s="220"/>
      <c r="FZ15" s="220"/>
      <c r="GA15" s="220"/>
      <c r="GB15" s="220"/>
      <c r="GC15" s="220"/>
      <c r="GD15" s="220"/>
      <c r="GE15" s="220"/>
      <c r="GF15" s="220"/>
      <c r="GG15" s="220"/>
      <c r="GH15" s="220"/>
      <c r="GI15" s="220"/>
      <c r="GJ15" s="220"/>
      <c r="GK15" s="220"/>
      <c r="GL15" s="220"/>
      <c r="GM15" s="220"/>
      <c r="GN15" s="220"/>
      <c r="GO15" s="220"/>
      <c r="GP15" s="220"/>
      <c r="GQ15" s="220"/>
      <c r="GR15" s="220"/>
      <c r="GS15" s="220"/>
      <c r="GT15" s="220"/>
      <c r="GU15" s="220"/>
      <c r="GV15" s="220"/>
      <c r="GW15" s="220"/>
      <c r="GX15" s="220"/>
      <c r="GY15" s="220"/>
      <c r="GZ15" s="220"/>
      <c r="HA15" s="220"/>
      <c r="HB15" s="220"/>
      <c r="HC15" s="220"/>
      <c r="HD15" s="220"/>
      <c r="HE15" s="220"/>
      <c r="HF15" s="220"/>
      <c r="HG15" s="220"/>
      <c r="HH15" s="220"/>
      <c r="HI15" s="220"/>
      <c r="HJ15" s="220"/>
      <c r="HK15" s="220"/>
      <c r="HL15" s="220"/>
      <c r="HM15" s="220"/>
      <c r="HN15" s="220"/>
      <c r="HO15" s="220"/>
      <c r="HP15" s="220"/>
      <c r="HQ15" s="220"/>
      <c r="HR15" s="220"/>
      <c r="HS15" s="220"/>
      <c r="HT15" s="220"/>
      <c r="HU15" s="220"/>
      <c r="HV15" s="220"/>
      <c r="HW15" s="220"/>
      <c r="HX15" s="220"/>
      <c r="HY15" s="220"/>
      <c r="HZ15" s="220"/>
      <c r="IA15" s="220"/>
      <c r="IB15" s="220"/>
      <c r="IC15" s="220"/>
      <c r="ID15" s="220"/>
      <c r="IE15" s="220"/>
      <c r="IF15" s="220"/>
      <c r="IG15" s="220"/>
      <c r="IH15" s="220"/>
      <c r="II15" s="220"/>
      <c r="IJ15" s="220"/>
      <c r="IK15" s="220"/>
      <c r="IL15" s="220"/>
      <c r="IM15" s="220"/>
      <c r="IN15" s="220"/>
      <c r="IO15" s="220"/>
      <c r="IP15" s="220"/>
      <c r="IQ15" s="220"/>
      <c r="IR15" s="220"/>
      <c r="IS15" s="220"/>
      <c r="IT15" s="220"/>
      <c r="IU15" s="220"/>
    </row>
    <row r="16" spans="1:255" s="229" customFormat="1" ht="15">
      <c r="A16" s="289"/>
      <c r="B16" s="290"/>
      <c r="C16" s="290"/>
      <c r="D16" s="273"/>
      <c r="E16" s="273"/>
      <c r="F16" s="217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9"/>
      <c r="X16" s="219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0"/>
      <c r="BD16" s="220"/>
      <c r="BE16" s="220"/>
      <c r="BF16" s="220"/>
      <c r="BG16" s="220"/>
      <c r="BH16" s="220"/>
      <c r="BI16" s="220"/>
      <c r="BJ16" s="220"/>
      <c r="BK16" s="220"/>
      <c r="BL16" s="220"/>
      <c r="BM16" s="220"/>
      <c r="BN16" s="220"/>
      <c r="BO16" s="220"/>
      <c r="BP16" s="220"/>
      <c r="BQ16" s="220"/>
      <c r="BR16" s="220"/>
      <c r="BS16" s="220"/>
      <c r="BT16" s="220"/>
      <c r="BU16" s="220"/>
      <c r="BV16" s="220"/>
      <c r="BW16" s="220"/>
      <c r="BX16" s="220"/>
      <c r="BY16" s="220"/>
      <c r="BZ16" s="220"/>
      <c r="CA16" s="220"/>
      <c r="CB16" s="220"/>
      <c r="CC16" s="220"/>
      <c r="CD16" s="220"/>
      <c r="CE16" s="220"/>
      <c r="CF16" s="220"/>
      <c r="CG16" s="220"/>
      <c r="CH16" s="220"/>
      <c r="CI16" s="220"/>
      <c r="CJ16" s="220"/>
      <c r="CK16" s="220"/>
      <c r="CL16" s="220"/>
      <c r="CM16" s="220"/>
      <c r="CN16" s="220"/>
      <c r="CO16" s="220"/>
      <c r="CP16" s="220"/>
      <c r="CQ16" s="220"/>
      <c r="CR16" s="220"/>
      <c r="CS16" s="220"/>
      <c r="CT16" s="220"/>
      <c r="CU16" s="220"/>
      <c r="CV16" s="220"/>
      <c r="CW16" s="220"/>
      <c r="CX16" s="220"/>
      <c r="CY16" s="220"/>
      <c r="CZ16" s="220"/>
      <c r="DA16" s="220"/>
      <c r="DB16" s="220"/>
      <c r="DC16" s="220"/>
      <c r="DD16" s="220"/>
      <c r="DE16" s="220"/>
      <c r="DF16" s="220"/>
      <c r="DG16" s="220"/>
      <c r="DH16" s="220"/>
      <c r="DI16" s="220"/>
      <c r="DJ16" s="220"/>
      <c r="DK16" s="220"/>
      <c r="DL16" s="220"/>
      <c r="DM16" s="220"/>
      <c r="DN16" s="220"/>
      <c r="DO16" s="220"/>
      <c r="DP16" s="220"/>
      <c r="DQ16" s="220"/>
      <c r="DR16" s="220"/>
      <c r="DS16" s="220"/>
      <c r="DT16" s="220"/>
      <c r="DU16" s="220"/>
      <c r="DV16" s="220"/>
      <c r="DW16" s="220"/>
      <c r="DX16" s="220"/>
      <c r="DY16" s="220"/>
      <c r="DZ16" s="220"/>
      <c r="EA16" s="220"/>
      <c r="EB16" s="220"/>
      <c r="EC16" s="220"/>
      <c r="ED16" s="220"/>
      <c r="EE16" s="220"/>
      <c r="EF16" s="220"/>
      <c r="EG16" s="220"/>
      <c r="EH16" s="220"/>
      <c r="EI16" s="220"/>
      <c r="EJ16" s="220"/>
      <c r="EK16" s="220"/>
      <c r="EL16" s="220"/>
      <c r="EM16" s="220"/>
      <c r="EN16" s="220"/>
      <c r="EO16" s="220"/>
      <c r="EP16" s="220"/>
      <c r="EQ16" s="220"/>
      <c r="ER16" s="220"/>
      <c r="ES16" s="220"/>
      <c r="ET16" s="220"/>
      <c r="EU16" s="220"/>
      <c r="EV16" s="220"/>
      <c r="EW16" s="220"/>
      <c r="EX16" s="220"/>
      <c r="EY16" s="220"/>
      <c r="EZ16" s="220"/>
      <c r="FA16" s="220"/>
      <c r="FB16" s="220"/>
      <c r="FC16" s="220"/>
      <c r="FD16" s="220"/>
      <c r="FE16" s="220"/>
      <c r="FF16" s="220"/>
      <c r="FG16" s="220"/>
      <c r="FH16" s="220"/>
      <c r="FI16" s="220"/>
      <c r="FJ16" s="220"/>
      <c r="FK16" s="220"/>
      <c r="FL16" s="220"/>
      <c r="FM16" s="220"/>
      <c r="FN16" s="220"/>
      <c r="FO16" s="220"/>
      <c r="FP16" s="220"/>
      <c r="FQ16" s="220"/>
      <c r="FR16" s="220"/>
      <c r="FS16" s="220"/>
      <c r="FT16" s="220"/>
      <c r="FU16" s="220"/>
      <c r="FV16" s="220"/>
      <c r="FW16" s="220"/>
      <c r="FX16" s="220"/>
      <c r="FY16" s="220"/>
      <c r="FZ16" s="220"/>
      <c r="GA16" s="220"/>
      <c r="GB16" s="220"/>
      <c r="GC16" s="220"/>
      <c r="GD16" s="220"/>
      <c r="GE16" s="220"/>
      <c r="GF16" s="220"/>
      <c r="GG16" s="220"/>
      <c r="GH16" s="220"/>
      <c r="GI16" s="220"/>
      <c r="GJ16" s="220"/>
      <c r="GK16" s="220"/>
      <c r="GL16" s="220"/>
      <c r="GM16" s="220"/>
      <c r="GN16" s="220"/>
      <c r="GO16" s="220"/>
      <c r="GP16" s="220"/>
      <c r="GQ16" s="220"/>
      <c r="GR16" s="220"/>
      <c r="GS16" s="220"/>
      <c r="GT16" s="220"/>
      <c r="GU16" s="220"/>
      <c r="GV16" s="220"/>
      <c r="GW16" s="220"/>
      <c r="GX16" s="220"/>
      <c r="GY16" s="220"/>
      <c r="GZ16" s="220"/>
      <c r="HA16" s="220"/>
      <c r="HB16" s="220"/>
      <c r="HC16" s="220"/>
      <c r="HD16" s="220"/>
      <c r="HE16" s="220"/>
      <c r="HF16" s="220"/>
      <c r="HG16" s="220"/>
      <c r="HH16" s="220"/>
      <c r="HI16" s="220"/>
      <c r="HJ16" s="220"/>
      <c r="HK16" s="220"/>
      <c r="HL16" s="220"/>
      <c r="HM16" s="220"/>
      <c r="HN16" s="220"/>
      <c r="HO16" s="220"/>
      <c r="HP16" s="220"/>
      <c r="HQ16" s="220"/>
      <c r="HR16" s="220"/>
      <c r="HS16" s="220"/>
      <c r="HT16" s="220"/>
      <c r="HU16" s="220"/>
      <c r="HV16" s="220"/>
      <c r="HW16" s="220"/>
      <c r="HX16" s="220"/>
      <c r="HY16" s="220"/>
      <c r="HZ16" s="220"/>
      <c r="IA16" s="220"/>
      <c r="IB16" s="220"/>
      <c r="IC16" s="220"/>
      <c r="ID16" s="220"/>
      <c r="IE16" s="220"/>
      <c r="IF16" s="220"/>
      <c r="IG16" s="220"/>
      <c r="IH16" s="220"/>
      <c r="II16" s="220"/>
      <c r="IJ16" s="220"/>
      <c r="IK16" s="220"/>
      <c r="IL16" s="220"/>
      <c r="IM16" s="220"/>
      <c r="IN16" s="220"/>
      <c r="IO16" s="220"/>
      <c r="IP16" s="220"/>
      <c r="IQ16" s="220"/>
      <c r="IR16" s="220"/>
      <c r="IS16" s="220"/>
      <c r="IT16" s="220"/>
      <c r="IU16" s="220"/>
    </row>
    <row r="17" spans="1:255" s="234" customFormat="1" ht="14.25">
      <c r="A17" s="291" t="s">
        <v>483</v>
      </c>
      <c r="B17" s="290"/>
      <c r="C17" s="290"/>
      <c r="D17" s="273"/>
      <c r="E17" s="273"/>
      <c r="F17" s="230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2"/>
      <c r="X17" s="232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  <c r="AO17" s="233"/>
      <c r="AP17" s="233"/>
      <c r="AQ17" s="233"/>
      <c r="AR17" s="233"/>
      <c r="AS17" s="233"/>
      <c r="AT17" s="233"/>
      <c r="AU17" s="233"/>
      <c r="AV17" s="233"/>
      <c r="AW17" s="233"/>
      <c r="AX17" s="233"/>
      <c r="AY17" s="233"/>
      <c r="AZ17" s="233"/>
      <c r="BA17" s="233"/>
      <c r="BB17" s="233"/>
      <c r="BC17" s="233"/>
      <c r="BD17" s="233"/>
      <c r="BE17" s="233"/>
      <c r="BF17" s="233"/>
      <c r="BG17" s="233"/>
      <c r="BH17" s="233"/>
      <c r="BI17" s="233"/>
      <c r="BJ17" s="233"/>
      <c r="BK17" s="233"/>
      <c r="BL17" s="233"/>
      <c r="BM17" s="233"/>
      <c r="BN17" s="233"/>
      <c r="BO17" s="233"/>
      <c r="BP17" s="233"/>
      <c r="BQ17" s="233"/>
      <c r="BR17" s="233"/>
      <c r="BS17" s="233"/>
      <c r="BT17" s="233"/>
      <c r="BU17" s="233"/>
      <c r="BV17" s="233"/>
      <c r="BW17" s="233"/>
      <c r="BX17" s="233"/>
      <c r="BY17" s="233"/>
      <c r="BZ17" s="233"/>
      <c r="CA17" s="233"/>
      <c r="CB17" s="233"/>
      <c r="CC17" s="233"/>
      <c r="CD17" s="233"/>
      <c r="CE17" s="233"/>
      <c r="CF17" s="233"/>
      <c r="CG17" s="233"/>
      <c r="CH17" s="233"/>
      <c r="CI17" s="233"/>
      <c r="CJ17" s="233"/>
      <c r="CK17" s="233"/>
      <c r="CL17" s="233"/>
      <c r="CM17" s="233"/>
      <c r="CN17" s="233"/>
      <c r="CO17" s="233"/>
      <c r="CP17" s="233"/>
      <c r="CQ17" s="233"/>
      <c r="CR17" s="233"/>
      <c r="CS17" s="233"/>
      <c r="CT17" s="233"/>
      <c r="CU17" s="233"/>
      <c r="CV17" s="233"/>
      <c r="CW17" s="233"/>
      <c r="CX17" s="233"/>
      <c r="CY17" s="233"/>
      <c r="CZ17" s="233"/>
      <c r="DA17" s="233"/>
      <c r="DB17" s="233"/>
      <c r="DC17" s="233"/>
      <c r="DD17" s="233"/>
      <c r="DE17" s="233"/>
      <c r="DF17" s="233"/>
      <c r="DG17" s="233"/>
      <c r="DH17" s="233"/>
      <c r="DI17" s="233"/>
      <c r="DJ17" s="233"/>
      <c r="DK17" s="233"/>
      <c r="DL17" s="233"/>
      <c r="DM17" s="233"/>
      <c r="DN17" s="233"/>
      <c r="DO17" s="233"/>
      <c r="DP17" s="233"/>
      <c r="DQ17" s="233"/>
      <c r="DR17" s="233"/>
      <c r="DS17" s="233"/>
      <c r="DT17" s="233"/>
      <c r="DU17" s="233"/>
      <c r="DV17" s="233"/>
      <c r="DW17" s="233"/>
      <c r="DX17" s="233"/>
      <c r="DY17" s="233"/>
      <c r="DZ17" s="233"/>
      <c r="EA17" s="233"/>
      <c r="EB17" s="233"/>
      <c r="EC17" s="233"/>
      <c r="ED17" s="233"/>
      <c r="EE17" s="233"/>
      <c r="EF17" s="233"/>
      <c r="EG17" s="233"/>
      <c r="EH17" s="233"/>
      <c r="EI17" s="233"/>
      <c r="EJ17" s="233"/>
      <c r="EK17" s="233"/>
      <c r="EL17" s="233"/>
      <c r="EM17" s="233"/>
      <c r="EN17" s="233"/>
      <c r="EO17" s="233"/>
      <c r="EP17" s="233"/>
      <c r="EQ17" s="233"/>
      <c r="ER17" s="233"/>
      <c r="ES17" s="233"/>
      <c r="ET17" s="233"/>
      <c r="EU17" s="233"/>
      <c r="EV17" s="233"/>
      <c r="EW17" s="233"/>
      <c r="EX17" s="233"/>
      <c r="EY17" s="233"/>
      <c r="EZ17" s="233"/>
      <c r="FA17" s="233"/>
      <c r="FB17" s="233"/>
      <c r="FC17" s="233"/>
      <c r="FD17" s="233"/>
      <c r="FE17" s="233"/>
      <c r="FF17" s="233"/>
      <c r="FG17" s="233"/>
      <c r="FH17" s="233"/>
      <c r="FI17" s="233"/>
      <c r="FJ17" s="233"/>
      <c r="FK17" s="233"/>
      <c r="FL17" s="233"/>
      <c r="FM17" s="233"/>
      <c r="FN17" s="233"/>
      <c r="FO17" s="233"/>
      <c r="FP17" s="233"/>
      <c r="FQ17" s="233"/>
      <c r="FR17" s="233"/>
      <c r="FS17" s="233"/>
      <c r="FT17" s="233"/>
      <c r="FU17" s="233"/>
      <c r="FV17" s="233"/>
      <c r="FW17" s="233"/>
      <c r="FX17" s="233"/>
      <c r="FY17" s="233"/>
      <c r="FZ17" s="233"/>
      <c r="GA17" s="233"/>
      <c r="GB17" s="233"/>
      <c r="GC17" s="233"/>
      <c r="GD17" s="233"/>
      <c r="GE17" s="233"/>
      <c r="GF17" s="233"/>
      <c r="GG17" s="233"/>
      <c r="GH17" s="233"/>
      <c r="GI17" s="233"/>
      <c r="GJ17" s="233"/>
      <c r="GK17" s="233"/>
      <c r="GL17" s="233"/>
      <c r="GM17" s="233"/>
      <c r="GN17" s="233"/>
      <c r="GO17" s="233"/>
      <c r="GP17" s="233"/>
      <c r="GQ17" s="233"/>
      <c r="GR17" s="233"/>
      <c r="GS17" s="233"/>
      <c r="GT17" s="233"/>
      <c r="GU17" s="233"/>
      <c r="GV17" s="233"/>
      <c r="GW17" s="233"/>
      <c r="GX17" s="233"/>
      <c r="GY17" s="233"/>
      <c r="GZ17" s="233"/>
      <c r="HA17" s="233"/>
      <c r="HB17" s="233"/>
      <c r="HC17" s="233"/>
      <c r="HD17" s="233"/>
      <c r="HE17" s="233"/>
      <c r="HF17" s="233"/>
      <c r="HG17" s="233"/>
      <c r="HH17" s="233"/>
      <c r="HI17" s="233"/>
      <c r="HJ17" s="233"/>
      <c r="HK17" s="233"/>
      <c r="HL17" s="233"/>
      <c r="HM17" s="233"/>
      <c r="HN17" s="233"/>
      <c r="HO17" s="233"/>
      <c r="HP17" s="233"/>
      <c r="HQ17" s="233"/>
      <c r="HR17" s="233"/>
      <c r="HS17" s="233"/>
      <c r="HT17" s="233"/>
      <c r="HU17" s="233"/>
      <c r="HV17" s="233"/>
      <c r="HW17" s="233"/>
      <c r="HX17" s="233"/>
      <c r="HY17" s="233"/>
      <c r="HZ17" s="233"/>
      <c r="IA17" s="233"/>
      <c r="IB17" s="233"/>
      <c r="IC17" s="233"/>
      <c r="ID17" s="233"/>
      <c r="IE17" s="233"/>
      <c r="IF17" s="233"/>
      <c r="IG17" s="233"/>
      <c r="IH17" s="233"/>
      <c r="II17" s="233"/>
      <c r="IJ17" s="233"/>
      <c r="IK17" s="233"/>
      <c r="IL17" s="233"/>
      <c r="IM17" s="233"/>
      <c r="IN17" s="233"/>
      <c r="IO17" s="233"/>
      <c r="IP17" s="233"/>
      <c r="IQ17" s="233"/>
      <c r="IR17" s="233"/>
      <c r="IS17" s="233"/>
      <c r="IT17" s="233"/>
      <c r="IU17" s="233"/>
    </row>
    <row r="18" spans="1:255" s="239" customFormat="1" ht="15">
      <c r="A18" s="292" t="s">
        <v>515</v>
      </c>
      <c r="B18" s="293"/>
      <c r="C18" s="293"/>
      <c r="D18" s="294"/>
      <c r="E18" s="294"/>
      <c r="F18" s="235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7"/>
      <c r="X18" s="237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  <c r="AQ18" s="238"/>
      <c r="AR18" s="238"/>
      <c r="AS18" s="238"/>
      <c r="AT18" s="238"/>
      <c r="AU18" s="238"/>
      <c r="AV18" s="238"/>
      <c r="AW18" s="238"/>
      <c r="AX18" s="238"/>
      <c r="AY18" s="238"/>
      <c r="AZ18" s="238"/>
      <c r="BA18" s="238"/>
      <c r="BB18" s="238"/>
      <c r="BC18" s="238"/>
      <c r="BD18" s="238"/>
      <c r="BE18" s="238"/>
      <c r="BF18" s="238"/>
      <c r="BG18" s="238"/>
      <c r="BH18" s="238"/>
      <c r="BI18" s="238"/>
      <c r="BJ18" s="238"/>
      <c r="BK18" s="238"/>
      <c r="BL18" s="238"/>
      <c r="BM18" s="238"/>
      <c r="BN18" s="238"/>
      <c r="BO18" s="238"/>
      <c r="BP18" s="238"/>
      <c r="BQ18" s="238"/>
      <c r="BR18" s="238"/>
      <c r="BS18" s="238"/>
      <c r="BT18" s="238"/>
      <c r="BU18" s="238"/>
      <c r="BV18" s="238"/>
      <c r="BW18" s="238"/>
      <c r="BX18" s="238"/>
      <c r="BY18" s="238"/>
      <c r="BZ18" s="238"/>
      <c r="CA18" s="238"/>
      <c r="CB18" s="238"/>
      <c r="CC18" s="238"/>
      <c r="CD18" s="238"/>
      <c r="CE18" s="238"/>
      <c r="CF18" s="238"/>
      <c r="CG18" s="238"/>
      <c r="CH18" s="238"/>
      <c r="CI18" s="238"/>
      <c r="CJ18" s="238"/>
      <c r="CK18" s="238"/>
      <c r="CL18" s="238"/>
      <c r="CM18" s="238"/>
      <c r="CN18" s="238"/>
      <c r="CO18" s="238"/>
      <c r="CP18" s="238"/>
      <c r="CQ18" s="238"/>
      <c r="CR18" s="238"/>
      <c r="CS18" s="238"/>
      <c r="CT18" s="238"/>
      <c r="CU18" s="238"/>
      <c r="CV18" s="238"/>
      <c r="CW18" s="238"/>
      <c r="CX18" s="238"/>
      <c r="CY18" s="238"/>
      <c r="CZ18" s="238"/>
      <c r="DA18" s="238"/>
      <c r="DB18" s="238"/>
      <c r="DC18" s="238"/>
      <c r="DD18" s="238"/>
      <c r="DE18" s="238"/>
      <c r="DF18" s="238"/>
      <c r="DG18" s="238"/>
      <c r="DH18" s="238"/>
      <c r="DI18" s="238"/>
      <c r="DJ18" s="238"/>
      <c r="DK18" s="238"/>
      <c r="DL18" s="238"/>
      <c r="DM18" s="238"/>
      <c r="DN18" s="238"/>
      <c r="DO18" s="238"/>
      <c r="DP18" s="238"/>
      <c r="DQ18" s="238"/>
      <c r="DR18" s="238"/>
      <c r="DS18" s="238"/>
      <c r="DT18" s="238"/>
      <c r="DU18" s="238"/>
      <c r="DV18" s="238"/>
      <c r="DW18" s="238"/>
      <c r="DX18" s="238"/>
      <c r="DY18" s="238"/>
      <c r="DZ18" s="238"/>
      <c r="EA18" s="238"/>
      <c r="EB18" s="238"/>
      <c r="EC18" s="238"/>
      <c r="ED18" s="238"/>
      <c r="EE18" s="238"/>
      <c r="EF18" s="238"/>
      <c r="EG18" s="238"/>
      <c r="EH18" s="238"/>
      <c r="EI18" s="238"/>
      <c r="EJ18" s="238"/>
      <c r="EK18" s="238"/>
      <c r="EL18" s="238"/>
      <c r="EM18" s="238"/>
      <c r="EN18" s="238"/>
      <c r="EO18" s="238"/>
      <c r="EP18" s="238"/>
      <c r="EQ18" s="238"/>
      <c r="ER18" s="238"/>
      <c r="ES18" s="238"/>
      <c r="ET18" s="238"/>
      <c r="EU18" s="238"/>
      <c r="EV18" s="238"/>
      <c r="EW18" s="238"/>
      <c r="EX18" s="238"/>
      <c r="EY18" s="238"/>
      <c r="EZ18" s="238"/>
      <c r="FA18" s="238"/>
      <c r="FB18" s="238"/>
      <c r="FC18" s="238"/>
      <c r="FD18" s="238"/>
      <c r="FE18" s="238"/>
      <c r="FF18" s="238"/>
      <c r="FG18" s="238"/>
      <c r="FH18" s="238"/>
      <c r="FI18" s="238"/>
      <c r="FJ18" s="238"/>
      <c r="FK18" s="238"/>
      <c r="FL18" s="238"/>
      <c r="FM18" s="238"/>
      <c r="FN18" s="238"/>
      <c r="FO18" s="238"/>
      <c r="FP18" s="238"/>
      <c r="FQ18" s="238"/>
      <c r="FR18" s="238"/>
      <c r="FS18" s="238"/>
      <c r="FT18" s="238"/>
      <c r="FU18" s="238"/>
      <c r="FV18" s="238"/>
      <c r="FW18" s="238"/>
      <c r="FX18" s="238"/>
      <c r="FY18" s="238"/>
      <c r="FZ18" s="238"/>
      <c r="GA18" s="238"/>
      <c r="GB18" s="238"/>
      <c r="GC18" s="238"/>
      <c r="GD18" s="238"/>
      <c r="GE18" s="238"/>
      <c r="GF18" s="238"/>
      <c r="GG18" s="238"/>
      <c r="GH18" s="238"/>
      <c r="GI18" s="238"/>
      <c r="GJ18" s="238"/>
      <c r="GK18" s="238"/>
      <c r="GL18" s="238"/>
      <c r="GM18" s="238"/>
      <c r="GN18" s="238"/>
      <c r="GO18" s="238"/>
      <c r="GP18" s="238"/>
      <c r="GQ18" s="238"/>
      <c r="GR18" s="238"/>
      <c r="GS18" s="238"/>
      <c r="GT18" s="238"/>
      <c r="GU18" s="238"/>
      <c r="GV18" s="238"/>
      <c r="GW18" s="238"/>
      <c r="GX18" s="238"/>
      <c r="GY18" s="238"/>
      <c r="GZ18" s="238"/>
      <c r="HA18" s="238"/>
      <c r="HB18" s="238"/>
      <c r="HC18" s="238"/>
      <c r="HD18" s="238"/>
      <c r="HE18" s="238"/>
      <c r="HF18" s="238"/>
      <c r="HG18" s="238"/>
      <c r="HH18" s="238"/>
      <c r="HI18" s="238"/>
      <c r="HJ18" s="238"/>
      <c r="HK18" s="238"/>
      <c r="HL18" s="238"/>
      <c r="HM18" s="238"/>
      <c r="HN18" s="238"/>
      <c r="HO18" s="238"/>
      <c r="HP18" s="238"/>
      <c r="HQ18" s="238"/>
      <c r="HR18" s="238"/>
      <c r="HS18" s="238"/>
      <c r="HT18" s="238"/>
      <c r="HU18" s="238"/>
      <c r="HV18" s="238"/>
      <c r="HW18" s="238"/>
      <c r="HX18" s="238"/>
      <c r="HY18" s="238"/>
      <c r="HZ18" s="238"/>
      <c r="IA18" s="238"/>
      <c r="IB18" s="238"/>
      <c r="IC18" s="238"/>
      <c r="ID18" s="238"/>
      <c r="IE18" s="238"/>
      <c r="IF18" s="238"/>
      <c r="IG18" s="238"/>
      <c r="IH18" s="238"/>
      <c r="II18" s="238"/>
      <c r="IJ18" s="238"/>
      <c r="IK18" s="238"/>
      <c r="IL18" s="238"/>
      <c r="IM18" s="238"/>
      <c r="IN18" s="238"/>
      <c r="IO18" s="238"/>
      <c r="IP18" s="238"/>
      <c r="IQ18" s="238"/>
      <c r="IR18" s="238"/>
      <c r="IS18" s="238"/>
      <c r="IT18" s="238"/>
      <c r="IU18" s="238"/>
    </row>
    <row r="19" spans="1:255" s="239" customFormat="1" ht="15">
      <c r="A19" s="292" t="s">
        <v>482</v>
      </c>
      <c r="B19" s="293"/>
      <c r="C19" s="293"/>
      <c r="D19" s="294"/>
      <c r="E19" s="294"/>
      <c r="F19" s="235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7"/>
      <c r="X19" s="237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  <c r="AN19" s="238"/>
      <c r="AO19" s="238"/>
      <c r="AP19" s="238"/>
      <c r="AQ19" s="238"/>
      <c r="AR19" s="238"/>
      <c r="AS19" s="238"/>
      <c r="AT19" s="238"/>
      <c r="AU19" s="238"/>
      <c r="AV19" s="238"/>
      <c r="AW19" s="238"/>
      <c r="AX19" s="238"/>
      <c r="AY19" s="238"/>
      <c r="AZ19" s="238"/>
      <c r="BA19" s="238"/>
      <c r="BB19" s="238"/>
      <c r="BC19" s="238"/>
      <c r="BD19" s="238"/>
      <c r="BE19" s="238"/>
      <c r="BF19" s="238"/>
      <c r="BG19" s="238"/>
      <c r="BH19" s="238"/>
      <c r="BI19" s="238"/>
      <c r="BJ19" s="238"/>
      <c r="BK19" s="238"/>
      <c r="BL19" s="238"/>
      <c r="BM19" s="238"/>
      <c r="BN19" s="238"/>
      <c r="BO19" s="238"/>
      <c r="BP19" s="238"/>
      <c r="BQ19" s="238"/>
      <c r="BR19" s="238"/>
      <c r="BS19" s="238"/>
      <c r="BT19" s="238"/>
      <c r="BU19" s="238"/>
      <c r="BV19" s="238"/>
      <c r="BW19" s="238"/>
      <c r="BX19" s="238"/>
      <c r="BY19" s="238"/>
      <c r="BZ19" s="238"/>
      <c r="CA19" s="238"/>
      <c r="CB19" s="238"/>
      <c r="CC19" s="238"/>
      <c r="CD19" s="238"/>
      <c r="CE19" s="238"/>
      <c r="CF19" s="238"/>
      <c r="CG19" s="238"/>
      <c r="CH19" s="238"/>
      <c r="CI19" s="238"/>
      <c r="CJ19" s="238"/>
      <c r="CK19" s="238"/>
      <c r="CL19" s="238"/>
      <c r="CM19" s="238"/>
      <c r="CN19" s="238"/>
      <c r="CO19" s="238"/>
      <c r="CP19" s="238"/>
      <c r="CQ19" s="238"/>
      <c r="CR19" s="238"/>
      <c r="CS19" s="238"/>
      <c r="CT19" s="238"/>
      <c r="CU19" s="238"/>
      <c r="CV19" s="238"/>
      <c r="CW19" s="238"/>
      <c r="CX19" s="238"/>
      <c r="CY19" s="238"/>
      <c r="CZ19" s="238"/>
      <c r="DA19" s="238"/>
      <c r="DB19" s="238"/>
      <c r="DC19" s="238"/>
      <c r="DD19" s="238"/>
      <c r="DE19" s="238"/>
      <c r="DF19" s="238"/>
      <c r="DG19" s="238"/>
      <c r="DH19" s="238"/>
      <c r="DI19" s="238"/>
      <c r="DJ19" s="238"/>
      <c r="DK19" s="238"/>
      <c r="DL19" s="238"/>
      <c r="DM19" s="238"/>
      <c r="DN19" s="238"/>
      <c r="DO19" s="238"/>
      <c r="DP19" s="238"/>
      <c r="DQ19" s="238"/>
      <c r="DR19" s="238"/>
      <c r="DS19" s="238"/>
      <c r="DT19" s="238"/>
      <c r="DU19" s="238"/>
      <c r="DV19" s="238"/>
      <c r="DW19" s="238"/>
      <c r="DX19" s="238"/>
      <c r="DY19" s="238"/>
      <c r="DZ19" s="238"/>
      <c r="EA19" s="238"/>
      <c r="EB19" s="238"/>
      <c r="EC19" s="238"/>
      <c r="ED19" s="238"/>
      <c r="EE19" s="238"/>
      <c r="EF19" s="238"/>
      <c r="EG19" s="238"/>
      <c r="EH19" s="238"/>
      <c r="EI19" s="238"/>
      <c r="EJ19" s="238"/>
      <c r="EK19" s="238"/>
      <c r="EL19" s="238"/>
      <c r="EM19" s="238"/>
      <c r="EN19" s="238"/>
      <c r="EO19" s="238"/>
      <c r="EP19" s="238"/>
      <c r="EQ19" s="238"/>
      <c r="ER19" s="238"/>
      <c r="ES19" s="238"/>
      <c r="ET19" s="238"/>
      <c r="EU19" s="238"/>
      <c r="EV19" s="238"/>
      <c r="EW19" s="238"/>
      <c r="EX19" s="238"/>
      <c r="EY19" s="238"/>
      <c r="EZ19" s="238"/>
      <c r="FA19" s="238"/>
      <c r="FB19" s="238"/>
      <c r="FC19" s="238"/>
      <c r="FD19" s="238"/>
      <c r="FE19" s="238"/>
      <c r="FF19" s="238"/>
      <c r="FG19" s="238"/>
      <c r="FH19" s="238"/>
      <c r="FI19" s="238"/>
      <c r="FJ19" s="238"/>
      <c r="FK19" s="238"/>
      <c r="FL19" s="238"/>
      <c r="FM19" s="238"/>
      <c r="FN19" s="238"/>
      <c r="FO19" s="238"/>
      <c r="FP19" s="238"/>
      <c r="FQ19" s="238"/>
      <c r="FR19" s="238"/>
      <c r="FS19" s="238"/>
      <c r="FT19" s="238"/>
      <c r="FU19" s="238"/>
      <c r="FV19" s="238"/>
      <c r="FW19" s="238"/>
      <c r="FX19" s="238"/>
      <c r="FY19" s="238"/>
      <c r="FZ19" s="238"/>
      <c r="GA19" s="238"/>
      <c r="GB19" s="238"/>
      <c r="GC19" s="238"/>
      <c r="GD19" s="238"/>
      <c r="GE19" s="238"/>
      <c r="GF19" s="238"/>
      <c r="GG19" s="238"/>
      <c r="GH19" s="238"/>
      <c r="GI19" s="238"/>
      <c r="GJ19" s="238"/>
      <c r="GK19" s="238"/>
      <c r="GL19" s="238"/>
      <c r="GM19" s="238"/>
      <c r="GN19" s="238"/>
      <c r="GO19" s="238"/>
      <c r="GP19" s="238"/>
      <c r="GQ19" s="238"/>
      <c r="GR19" s="238"/>
      <c r="GS19" s="238"/>
      <c r="GT19" s="238"/>
      <c r="GU19" s="238"/>
      <c r="GV19" s="238"/>
      <c r="GW19" s="238"/>
      <c r="GX19" s="238"/>
      <c r="GY19" s="238"/>
      <c r="GZ19" s="238"/>
      <c r="HA19" s="238"/>
      <c r="HB19" s="238"/>
      <c r="HC19" s="238"/>
      <c r="HD19" s="238"/>
      <c r="HE19" s="238"/>
      <c r="HF19" s="238"/>
      <c r="HG19" s="238"/>
      <c r="HH19" s="238"/>
      <c r="HI19" s="238"/>
      <c r="HJ19" s="238"/>
      <c r="HK19" s="238"/>
      <c r="HL19" s="238"/>
      <c r="HM19" s="238"/>
      <c r="HN19" s="238"/>
      <c r="HO19" s="238"/>
      <c r="HP19" s="238"/>
      <c r="HQ19" s="238"/>
      <c r="HR19" s="238"/>
      <c r="HS19" s="238"/>
      <c r="HT19" s="238"/>
      <c r="HU19" s="238"/>
      <c r="HV19" s="238"/>
      <c r="HW19" s="238"/>
      <c r="HX19" s="238"/>
      <c r="HY19" s="238"/>
      <c r="HZ19" s="238"/>
      <c r="IA19" s="238"/>
      <c r="IB19" s="238"/>
      <c r="IC19" s="238"/>
      <c r="ID19" s="238"/>
      <c r="IE19" s="238"/>
      <c r="IF19" s="238"/>
      <c r="IG19" s="238"/>
      <c r="IH19" s="238"/>
      <c r="II19" s="238"/>
      <c r="IJ19" s="238"/>
      <c r="IK19" s="238"/>
      <c r="IL19" s="238"/>
      <c r="IM19" s="238"/>
      <c r="IN19" s="238"/>
      <c r="IO19" s="238"/>
      <c r="IP19" s="238"/>
      <c r="IQ19" s="238"/>
      <c r="IR19" s="238"/>
      <c r="IS19" s="238"/>
      <c r="IT19" s="238"/>
      <c r="IU19" s="238"/>
    </row>
    <row r="20" spans="1:255" s="239" customFormat="1" ht="15">
      <c r="A20" s="292" t="s">
        <v>481</v>
      </c>
      <c r="B20" s="293"/>
      <c r="C20" s="293"/>
      <c r="D20" s="294"/>
      <c r="E20" s="294"/>
      <c r="F20" s="235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7"/>
      <c r="X20" s="237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238"/>
      <c r="AW20" s="238"/>
      <c r="AX20" s="238"/>
      <c r="AY20" s="238"/>
      <c r="AZ20" s="238"/>
      <c r="BA20" s="238"/>
      <c r="BB20" s="238"/>
      <c r="BC20" s="238"/>
      <c r="BD20" s="238"/>
      <c r="BE20" s="238"/>
      <c r="BF20" s="238"/>
      <c r="BG20" s="238"/>
      <c r="BH20" s="238"/>
      <c r="BI20" s="238"/>
      <c r="BJ20" s="238"/>
      <c r="BK20" s="238"/>
      <c r="BL20" s="238"/>
      <c r="BM20" s="238"/>
      <c r="BN20" s="238"/>
      <c r="BO20" s="238"/>
      <c r="BP20" s="238"/>
      <c r="BQ20" s="238"/>
      <c r="BR20" s="238"/>
      <c r="BS20" s="238"/>
      <c r="BT20" s="238"/>
      <c r="BU20" s="238"/>
      <c r="BV20" s="238"/>
      <c r="BW20" s="238"/>
      <c r="BX20" s="238"/>
      <c r="BY20" s="238"/>
      <c r="BZ20" s="238"/>
      <c r="CA20" s="238"/>
      <c r="CB20" s="238"/>
      <c r="CC20" s="238"/>
      <c r="CD20" s="238"/>
      <c r="CE20" s="238"/>
      <c r="CF20" s="238"/>
      <c r="CG20" s="238"/>
      <c r="CH20" s="238"/>
      <c r="CI20" s="238"/>
      <c r="CJ20" s="238"/>
      <c r="CK20" s="238"/>
      <c r="CL20" s="238"/>
      <c r="CM20" s="238"/>
      <c r="CN20" s="238"/>
      <c r="CO20" s="238"/>
      <c r="CP20" s="238"/>
      <c r="CQ20" s="238"/>
      <c r="CR20" s="238"/>
      <c r="CS20" s="238"/>
      <c r="CT20" s="238"/>
      <c r="CU20" s="238"/>
      <c r="CV20" s="238"/>
      <c r="CW20" s="238"/>
      <c r="CX20" s="238"/>
      <c r="CY20" s="238"/>
      <c r="CZ20" s="238"/>
      <c r="DA20" s="238"/>
      <c r="DB20" s="238"/>
      <c r="DC20" s="238"/>
      <c r="DD20" s="238"/>
      <c r="DE20" s="238"/>
      <c r="DF20" s="238"/>
      <c r="DG20" s="238"/>
      <c r="DH20" s="238"/>
      <c r="DI20" s="238"/>
      <c r="DJ20" s="238"/>
      <c r="DK20" s="238"/>
      <c r="DL20" s="238"/>
      <c r="DM20" s="238"/>
      <c r="DN20" s="238"/>
      <c r="DO20" s="238"/>
      <c r="DP20" s="238"/>
      <c r="DQ20" s="238"/>
      <c r="DR20" s="238"/>
      <c r="DS20" s="238"/>
      <c r="DT20" s="238"/>
      <c r="DU20" s="238"/>
      <c r="DV20" s="238"/>
      <c r="DW20" s="238"/>
      <c r="DX20" s="238"/>
      <c r="DY20" s="238"/>
      <c r="DZ20" s="238"/>
      <c r="EA20" s="238"/>
      <c r="EB20" s="238"/>
      <c r="EC20" s="238"/>
      <c r="ED20" s="238"/>
      <c r="EE20" s="238"/>
      <c r="EF20" s="238"/>
      <c r="EG20" s="238"/>
      <c r="EH20" s="238"/>
      <c r="EI20" s="238"/>
      <c r="EJ20" s="238"/>
      <c r="EK20" s="238"/>
      <c r="EL20" s="238"/>
      <c r="EM20" s="238"/>
      <c r="EN20" s="238"/>
      <c r="EO20" s="238"/>
      <c r="EP20" s="238"/>
      <c r="EQ20" s="238"/>
      <c r="ER20" s="238"/>
      <c r="ES20" s="238"/>
      <c r="ET20" s="238"/>
      <c r="EU20" s="238"/>
      <c r="EV20" s="238"/>
      <c r="EW20" s="238"/>
      <c r="EX20" s="238"/>
      <c r="EY20" s="238"/>
      <c r="EZ20" s="238"/>
      <c r="FA20" s="238"/>
      <c r="FB20" s="238"/>
      <c r="FC20" s="238"/>
      <c r="FD20" s="238"/>
      <c r="FE20" s="238"/>
      <c r="FF20" s="238"/>
      <c r="FG20" s="238"/>
      <c r="FH20" s="238"/>
      <c r="FI20" s="238"/>
      <c r="FJ20" s="238"/>
      <c r="FK20" s="238"/>
      <c r="FL20" s="238"/>
      <c r="FM20" s="238"/>
      <c r="FN20" s="238"/>
      <c r="FO20" s="238"/>
      <c r="FP20" s="238"/>
      <c r="FQ20" s="238"/>
      <c r="FR20" s="238"/>
      <c r="FS20" s="238"/>
      <c r="FT20" s="238"/>
      <c r="FU20" s="238"/>
      <c r="FV20" s="238"/>
      <c r="FW20" s="238"/>
      <c r="FX20" s="238"/>
      <c r="FY20" s="238"/>
      <c r="FZ20" s="238"/>
      <c r="GA20" s="238"/>
      <c r="GB20" s="238"/>
      <c r="GC20" s="238"/>
      <c r="GD20" s="238"/>
      <c r="GE20" s="238"/>
      <c r="GF20" s="238"/>
      <c r="GG20" s="238"/>
      <c r="GH20" s="238"/>
      <c r="GI20" s="238"/>
      <c r="GJ20" s="238"/>
      <c r="GK20" s="238"/>
      <c r="GL20" s="238"/>
      <c r="GM20" s="238"/>
      <c r="GN20" s="238"/>
      <c r="GO20" s="238"/>
      <c r="GP20" s="238"/>
      <c r="GQ20" s="238"/>
      <c r="GR20" s="238"/>
      <c r="GS20" s="238"/>
      <c r="GT20" s="238"/>
      <c r="GU20" s="238"/>
      <c r="GV20" s="238"/>
      <c r="GW20" s="238"/>
      <c r="GX20" s="238"/>
      <c r="GY20" s="238"/>
      <c r="GZ20" s="238"/>
      <c r="HA20" s="238"/>
      <c r="HB20" s="238"/>
      <c r="HC20" s="238"/>
      <c r="HD20" s="238"/>
      <c r="HE20" s="238"/>
      <c r="HF20" s="238"/>
      <c r="HG20" s="238"/>
      <c r="HH20" s="238"/>
      <c r="HI20" s="238"/>
      <c r="HJ20" s="238"/>
      <c r="HK20" s="238"/>
      <c r="HL20" s="238"/>
      <c r="HM20" s="238"/>
      <c r="HN20" s="238"/>
      <c r="HO20" s="238"/>
      <c r="HP20" s="238"/>
      <c r="HQ20" s="238"/>
      <c r="HR20" s="238"/>
      <c r="HS20" s="238"/>
      <c r="HT20" s="238"/>
      <c r="HU20" s="238"/>
      <c r="HV20" s="238"/>
      <c r="HW20" s="238"/>
      <c r="HX20" s="238"/>
      <c r="HY20" s="238"/>
      <c r="HZ20" s="238"/>
      <c r="IA20" s="238"/>
      <c r="IB20" s="238"/>
      <c r="IC20" s="238"/>
      <c r="ID20" s="238"/>
      <c r="IE20" s="238"/>
      <c r="IF20" s="238"/>
      <c r="IG20" s="238"/>
      <c r="IH20" s="238"/>
      <c r="II20" s="238"/>
      <c r="IJ20" s="238"/>
      <c r="IK20" s="238"/>
      <c r="IL20" s="238"/>
      <c r="IM20" s="238"/>
      <c r="IN20" s="238"/>
      <c r="IO20" s="238"/>
      <c r="IP20" s="238"/>
      <c r="IQ20" s="238"/>
      <c r="IR20" s="238"/>
      <c r="IS20" s="238"/>
      <c r="IT20" s="238"/>
      <c r="IU20" s="238"/>
    </row>
    <row r="21" spans="1:255" s="239" customFormat="1" ht="15">
      <c r="A21" s="292" t="s">
        <v>743</v>
      </c>
      <c r="B21" s="293"/>
      <c r="C21" s="293"/>
      <c r="D21" s="294"/>
      <c r="E21" s="294"/>
      <c r="F21" s="235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7"/>
      <c r="X21" s="237"/>
      <c r="Y21" s="238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/>
      <c r="AN21" s="238"/>
      <c r="AO21" s="238"/>
      <c r="AP21" s="238"/>
      <c r="AQ21" s="238"/>
      <c r="AR21" s="238"/>
      <c r="AS21" s="238"/>
      <c r="AT21" s="238"/>
      <c r="AU21" s="238"/>
      <c r="AV21" s="238"/>
      <c r="AW21" s="238"/>
      <c r="AX21" s="238"/>
      <c r="AY21" s="238"/>
      <c r="AZ21" s="238"/>
      <c r="BA21" s="238"/>
      <c r="BB21" s="238"/>
      <c r="BC21" s="238"/>
      <c r="BD21" s="238"/>
      <c r="BE21" s="238"/>
      <c r="BF21" s="238"/>
      <c r="BG21" s="238"/>
      <c r="BH21" s="238"/>
      <c r="BI21" s="238"/>
      <c r="BJ21" s="238"/>
      <c r="BK21" s="238"/>
      <c r="BL21" s="238"/>
      <c r="BM21" s="238"/>
      <c r="BN21" s="238"/>
      <c r="BO21" s="238"/>
      <c r="BP21" s="238"/>
      <c r="BQ21" s="238"/>
      <c r="BR21" s="238"/>
      <c r="BS21" s="238"/>
      <c r="BT21" s="238"/>
      <c r="BU21" s="238"/>
      <c r="BV21" s="238"/>
      <c r="BW21" s="238"/>
      <c r="BX21" s="238"/>
      <c r="BY21" s="238"/>
      <c r="BZ21" s="238"/>
      <c r="CA21" s="238"/>
      <c r="CB21" s="238"/>
      <c r="CC21" s="238"/>
      <c r="CD21" s="238"/>
      <c r="CE21" s="238"/>
      <c r="CF21" s="238"/>
      <c r="CG21" s="238"/>
      <c r="CH21" s="238"/>
      <c r="CI21" s="238"/>
      <c r="CJ21" s="238"/>
      <c r="CK21" s="238"/>
      <c r="CL21" s="238"/>
      <c r="CM21" s="238"/>
      <c r="CN21" s="238"/>
      <c r="CO21" s="238"/>
      <c r="CP21" s="238"/>
      <c r="CQ21" s="238"/>
      <c r="CR21" s="238"/>
      <c r="CS21" s="238"/>
      <c r="CT21" s="238"/>
      <c r="CU21" s="238"/>
      <c r="CV21" s="238"/>
      <c r="CW21" s="238"/>
      <c r="CX21" s="238"/>
      <c r="CY21" s="238"/>
      <c r="CZ21" s="238"/>
      <c r="DA21" s="238"/>
      <c r="DB21" s="238"/>
      <c r="DC21" s="238"/>
      <c r="DD21" s="238"/>
      <c r="DE21" s="238"/>
      <c r="DF21" s="238"/>
      <c r="DG21" s="238"/>
      <c r="DH21" s="238"/>
      <c r="DI21" s="238"/>
      <c r="DJ21" s="238"/>
      <c r="DK21" s="238"/>
      <c r="DL21" s="238"/>
      <c r="DM21" s="238"/>
      <c r="DN21" s="238"/>
      <c r="DO21" s="238"/>
      <c r="DP21" s="238"/>
      <c r="DQ21" s="238"/>
      <c r="DR21" s="238"/>
      <c r="DS21" s="238"/>
      <c r="DT21" s="238"/>
      <c r="DU21" s="238"/>
      <c r="DV21" s="238"/>
      <c r="DW21" s="238"/>
      <c r="DX21" s="238"/>
      <c r="DY21" s="238"/>
      <c r="DZ21" s="238"/>
      <c r="EA21" s="238"/>
      <c r="EB21" s="238"/>
      <c r="EC21" s="238"/>
      <c r="ED21" s="238"/>
      <c r="EE21" s="238"/>
      <c r="EF21" s="238"/>
      <c r="EG21" s="238"/>
      <c r="EH21" s="238"/>
      <c r="EI21" s="238"/>
      <c r="EJ21" s="238"/>
      <c r="EK21" s="238"/>
      <c r="EL21" s="238"/>
      <c r="EM21" s="238"/>
      <c r="EN21" s="238"/>
      <c r="EO21" s="238"/>
      <c r="EP21" s="238"/>
      <c r="EQ21" s="238"/>
      <c r="ER21" s="238"/>
      <c r="ES21" s="238"/>
      <c r="ET21" s="238"/>
      <c r="EU21" s="238"/>
      <c r="EV21" s="238"/>
      <c r="EW21" s="238"/>
      <c r="EX21" s="238"/>
      <c r="EY21" s="238"/>
      <c r="EZ21" s="238"/>
      <c r="FA21" s="238"/>
      <c r="FB21" s="238"/>
      <c r="FC21" s="238"/>
      <c r="FD21" s="238"/>
      <c r="FE21" s="238"/>
      <c r="FF21" s="238"/>
      <c r="FG21" s="238"/>
      <c r="FH21" s="238"/>
      <c r="FI21" s="238"/>
      <c r="FJ21" s="238"/>
      <c r="FK21" s="238"/>
      <c r="FL21" s="238"/>
      <c r="FM21" s="238"/>
      <c r="FN21" s="238"/>
      <c r="FO21" s="238"/>
      <c r="FP21" s="238"/>
      <c r="FQ21" s="238"/>
      <c r="FR21" s="238"/>
      <c r="FS21" s="238"/>
      <c r="FT21" s="238"/>
      <c r="FU21" s="238"/>
      <c r="FV21" s="238"/>
      <c r="FW21" s="238"/>
      <c r="FX21" s="238"/>
      <c r="FY21" s="238"/>
      <c r="FZ21" s="238"/>
      <c r="GA21" s="238"/>
      <c r="GB21" s="238"/>
      <c r="GC21" s="238"/>
      <c r="GD21" s="238"/>
      <c r="GE21" s="238"/>
      <c r="GF21" s="238"/>
      <c r="GG21" s="238"/>
      <c r="GH21" s="238"/>
      <c r="GI21" s="238"/>
      <c r="GJ21" s="238"/>
      <c r="GK21" s="238"/>
      <c r="GL21" s="238"/>
      <c r="GM21" s="238"/>
      <c r="GN21" s="238"/>
      <c r="GO21" s="238"/>
      <c r="GP21" s="238"/>
      <c r="GQ21" s="238"/>
      <c r="GR21" s="238"/>
      <c r="GS21" s="238"/>
      <c r="GT21" s="238"/>
      <c r="GU21" s="238"/>
      <c r="GV21" s="238"/>
      <c r="GW21" s="238"/>
      <c r="GX21" s="238"/>
      <c r="GY21" s="238"/>
      <c r="GZ21" s="238"/>
      <c r="HA21" s="238"/>
      <c r="HB21" s="238"/>
      <c r="HC21" s="238"/>
      <c r="HD21" s="238"/>
      <c r="HE21" s="238"/>
      <c r="HF21" s="238"/>
      <c r="HG21" s="238"/>
      <c r="HH21" s="238"/>
      <c r="HI21" s="238"/>
      <c r="HJ21" s="238"/>
      <c r="HK21" s="238"/>
      <c r="HL21" s="238"/>
      <c r="HM21" s="238"/>
      <c r="HN21" s="238"/>
      <c r="HO21" s="238"/>
      <c r="HP21" s="238"/>
      <c r="HQ21" s="238"/>
      <c r="HR21" s="238"/>
      <c r="HS21" s="238"/>
      <c r="HT21" s="238"/>
      <c r="HU21" s="238"/>
      <c r="HV21" s="238"/>
      <c r="HW21" s="238"/>
      <c r="HX21" s="238"/>
      <c r="HY21" s="238"/>
      <c r="HZ21" s="238"/>
      <c r="IA21" s="238"/>
      <c r="IB21" s="238"/>
      <c r="IC21" s="238"/>
      <c r="ID21" s="238"/>
      <c r="IE21" s="238"/>
      <c r="IF21" s="238"/>
      <c r="IG21" s="238"/>
      <c r="IH21" s="238"/>
      <c r="II21" s="238"/>
      <c r="IJ21" s="238"/>
      <c r="IK21" s="238"/>
      <c r="IL21" s="238"/>
      <c r="IM21" s="238"/>
      <c r="IN21" s="238"/>
      <c r="IO21" s="238"/>
      <c r="IP21" s="238"/>
      <c r="IQ21" s="238"/>
      <c r="IR21" s="238"/>
      <c r="IS21" s="238"/>
      <c r="IT21" s="238"/>
      <c r="IU21" s="238"/>
    </row>
    <row r="22" spans="1:255" s="239" customFormat="1" ht="15">
      <c r="A22" s="292" t="s">
        <v>744</v>
      </c>
      <c r="B22" s="293"/>
      <c r="C22" s="293"/>
      <c r="D22" s="294"/>
      <c r="E22" s="294"/>
      <c r="F22" s="235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7"/>
      <c r="X22" s="237"/>
      <c r="Y22" s="238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238"/>
      <c r="AN22" s="238"/>
      <c r="AO22" s="238"/>
      <c r="AP22" s="238"/>
      <c r="AQ22" s="238"/>
      <c r="AR22" s="238"/>
      <c r="AS22" s="238"/>
      <c r="AT22" s="238"/>
      <c r="AU22" s="238"/>
      <c r="AV22" s="238"/>
      <c r="AW22" s="238"/>
      <c r="AX22" s="238"/>
      <c r="AY22" s="238"/>
      <c r="AZ22" s="238"/>
      <c r="BA22" s="238"/>
      <c r="BB22" s="238"/>
      <c r="BC22" s="238"/>
      <c r="BD22" s="238"/>
      <c r="BE22" s="238"/>
      <c r="BF22" s="238"/>
      <c r="BG22" s="238"/>
      <c r="BH22" s="238"/>
      <c r="BI22" s="238"/>
      <c r="BJ22" s="238"/>
      <c r="BK22" s="238"/>
      <c r="BL22" s="238"/>
      <c r="BM22" s="238"/>
      <c r="BN22" s="238"/>
      <c r="BO22" s="238"/>
      <c r="BP22" s="238"/>
      <c r="BQ22" s="238"/>
      <c r="BR22" s="238"/>
      <c r="BS22" s="238"/>
      <c r="BT22" s="238"/>
      <c r="BU22" s="238"/>
      <c r="BV22" s="238"/>
      <c r="BW22" s="238"/>
      <c r="BX22" s="238"/>
      <c r="BY22" s="238"/>
      <c r="BZ22" s="238"/>
      <c r="CA22" s="238"/>
      <c r="CB22" s="238"/>
      <c r="CC22" s="238"/>
      <c r="CD22" s="238"/>
      <c r="CE22" s="238"/>
      <c r="CF22" s="238"/>
      <c r="CG22" s="238"/>
      <c r="CH22" s="238"/>
      <c r="CI22" s="238"/>
      <c r="CJ22" s="238"/>
      <c r="CK22" s="238"/>
      <c r="CL22" s="238"/>
      <c r="CM22" s="238"/>
      <c r="CN22" s="238"/>
      <c r="CO22" s="238"/>
      <c r="CP22" s="238"/>
      <c r="CQ22" s="238"/>
      <c r="CR22" s="238"/>
      <c r="CS22" s="238"/>
      <c r="CT22" s="238"/>
      <c r="CU22" s="238"/>
      <c r="CV22" s="238"/>
      <c r="CW22" s="238"/>
      <c r="CX22" s="238"/>
      <c r="CY22" s="238"/>
      <c r="CZ22" s="238"/>
      <c r="DA22" s="238"/>
      <c r="DB22" s="238"/>
      <c r="DC22" s="238"/>
      <c r="DD22" s="238"/>
      <c r="DE22" s="238"/>
      <c r="DF22" s="238"/>
      <c r="DG22" s="238"/>
      <c r="DH22" s="238"/>
      <c r="DI22" s="238"/>
      <c r="DJ22" s="238"/>
      <c r="DK22" s="238"/>
      <c r="DL22" s="238"/>
      <c r="DM22" s="238"/>
      <c r="DN22" s="238"/>
      <c r="DO22" s="238"/>
      <c r="DP22" s="238"/>
      <c r="DQ22" s="238"/>
      <c r="DR22" s="238"/>
      <c r="DS22" s="238"/>
      <c r="DT22" s="238"/>
      <c r="DU22" s="238"/>
      <c r="DV22" s="238"/>
      <c r="DW22" s="238"/>
      <c r="DX22" s="238"/>
      <c r="DY22" s="238"/>
      <c r="DZ22" s="238"/>
      <c r="EA22" s="238"/>
      <c r="EB22" s="238"/>
      <c r="EC22" s="238"/>
      <c r="ED22" s="238"/>
      <c r="EE22" s="238"/>
      <c r="EF22" s="238"/>
      <c r="EG22" s="238"/>
      <c r="EH22" s="238"/>
      <c r="EI22" s="238"/>
      <c r="EJ22" s="238"/>
      <c r="EK22" s="238"/>
      <c r="EL22" s="238"/>
      <c r="EM22" s="238"/>
      <c r="EN22" s="238"/>
      <c r="EO22" s="238"/>
      <c r="EP22" s="238"/>
      <c r="EQ22" s="238"/>
      <c r="ER22" s="238"/>
      <c r="ES22" s="238"/>
      <c r="ET22" s="238"/>
      <c r="EU22" s="238"/>
      <c r="EV22" s="238"/>
      <c r="EW22" s="238"/>
      <c r="EX22" s="238"/>
      <c r="EY22" s="238"/>
      <c r="EZ22" s="238"/>
      <c r="FA22" s="238"/>
      <c r="FB22" s="238"/>
      <c r="FC22" s="238"/>
      <c r="FD22" s="238"/>
      <c r="FE22" s="238"/>
      <c r="FF22" s="238"/>
      <c r="FG22" s="238"/>
      <c r="FH22" s="238"/>
      <c r="FI22" s="238"/>
      <c r="FJ22" s="238"/>
      <c r="FK22" s="238"/>
      <c r="FL22" s="238"/>
      <c r="FM22" s="238"/>
      <c r="FN22" s="238"/>
      <c r="FO22" s="238"/>
      <c r="FP22" s="238"/>
      <c r="FQ22" s="238"/>
      <c r="FR22" s="238"/>
      <c r="FS22" s="238"/>
      <c r="FT22" s="238"/>
      <c r="FU22" s="238"/>
      <c r="FV22" s="238"/>
      <c r="FW22" s="238"/>
      <c r="FX22" s="238"/>
      <c r="FY22" s="238"/>
      <c r="FZ22" s="238"/>
      <c r="GA22" s="238"/>
      <c r="GB22" s="238"/>
      <c r="GC22" s="238"/>
      <c r="GD22" s="238"/>
      <c r="GE22" s="238"/>
      <c r="GF22" s="238"/>
      <c r="GG22" s="238"/>
      <c r="GH22" s="238"/>
      <c r="GI22" s="238"/>
      <c r="GJ22" s="238"/>
      <c r="GK22" s="238"/>
      <c r="GL22" s="238"/>
      <c r="GM22" s="238"/>
      <c r="GN22" s="238"/>
      <c r="GO22" s="238"/>
      <c r="GP22" s="238"/>
      <c r="GQ22" s="238"/>
      <c r="GR22" s="238"/>
      <c r="GS22" s="238"/>
      <c r="GT22" s="238"/>
      <c r="GU22" s="238"/>
      <c r="GV22" s="238"/>
      <c r="GW22" s="238"/>
      <c r="GX22" s="238"/>
      <c r="GY22" s="238"/>
      <c r="GZ22" s="238"/>
      <c r="HA22" s="238"/>
      <c r="HB22" s="238"/>
      <c r="HC22" s="238"/>
      <c r="HD22" s="238"/>
      <c r="HE22" s="238"/>
      <c r="HF22" s="238"/>
      <c r="HG22" s="238"/>
      <c r="HH22" s="238"/>
      <c r="HI22" s="238"/>
      <c r="HJ22" s="238"/>
      <c r="HK22" s="238"/>
      <c r="HL22" s="238"/>
      <c r="HM22" s="238"/>
      <c r="HN22" s="238"/>
      <c r="HO22" s="238"/>
      <c r="HP22" s="238"/>
      <c r="HQ22" s="238"/>
      <c r="HR22" s="238"/>
      <c r="HS22" s="238"/>
      <c r="HT22" s="238"/>
      <c r="HU22" s="238"/>
      <c r="HV22" s="238"/>
      <c r="HW22" s="238"/>
      <c r="HX22" s="238"/>
      <c r="HY22" s="238"/>
      <c r="HZ22" s="238"/>
      <c r="IA22" s="238"/>
      <c r="IB22" s="238"/>
      <c r="IC22" s="238"/>
      <c r="ID22" s="238"/>
      <c r="IE22" s="238"/>
      <c r="IF22" s="238"/>
      <c r="IG22" s="238"/>
      <c r="IH22" s="238"/>
      <c r="II22" s="238"/>
      <c r="IJ22" s="238"/>
      <c r="IK22" s="238"/>
      <c r="IL22" s="238"/>
      <c r="IM22" s="238"/>
      <c r="IN22" s="238"/>
      <c r="IO22" s="238"/>
      <c r="IP22" s="238"/>
      <c r="IQ22" s="238"/>
      <c r="IR22" s="238"/>
      <c r="IS22" s="238"/>
      <c r="IT22" s="238"/>
      <c r="IU22" s="238"/>
    </row>
    <row r="23" spans="1:255" s="239" customFormat="1" ht="24.75" customHeight="1">
      <c r="A23" s="295" t="s">
        <v>480</v>
      </c>
      <c r="B23" s="293"/>
      <c r="C23" s="293"/>
      <c r="D23" s="294"/>
      <c r="E23" s="294"/>
      <c r="F23" s="235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7"/>
      <c r="X23" s="237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238"/>
      <c r="AP23" s="238"/>
      <c r="AQ23" s="238"/>
      <c r="AR23" s="238"/>
      <c r="AS23" s="238"/>
      <c r="AT23" s="238"/>
      <c r="AU23" s="238"/>
      <c r="AV23" s="238"/>
      <c r="AW23" s="238"/>
      <c r="AX23" s="238"/>
      <c r="AY23" s="238"/>
      <c r="AZ23" s="238"/>
      <c r="BA23" s="238"/>
      <c r="BB23" s="238"/>
      <c r="BC23" s="238"/>
      <c r="BD23" s="238"/>
      <c r="BE23" s="238"/>
      <c r="BF23" s="238"/>
      <c r="BG23" s="238"/>
      <c r="BH23" s="238"/>
      <c r="BI23" s="238"/>
      <c r="BJ23" s="238"/>
      <c r="BK23" s="238"/>
      <c r="BL23" s="238"/>
      <c r="BM23" s="238"/>
      <c r="BN23" s="238"/>
      <c r="BO23" s="238"/>
      <c r="BP23" s="238"/>
      <c r="BQ23" s="238"/>
      <c r="BR23" s="238"/>
      <c r="BS23" s="238"/>
      <c r="BT23" s="238"/>
      <c r="BU23" s="238"/>
      <c r="BV23" s="238"/>
      <c r="BW23" s="238"/>
      <c r="BX23" s="238"/>
      <c r="BY23" s="238"/>
      <c r="BZ23" s="238"/>
      <c r="CA23" s="238"/>
      <c r="CB23" s="238"/>
      <c r="CC23" s="238"/>
      <c r="CD23" s="238"/>
      <c r="CE23" s="238"/>
      <c r="CF23" s="238"/>
      <c r="CG23" s="238"/>
      <c r="CH23" s="238"/>
      <c r="CI23" s="238"/>
      <c r="CJ23" s="238"/>
      <c r="CK23" s="238"/>
      <c r="CL23" s="238"/>
      <c r="CM23" s="238"/>
      <c r="CN23" s="238"/>
      <c r="CO23" s="238"/>
      <c r="CP23" s="238"/>
      <c r="CQ23" s="238"/>
      <c r="CR23" s="238"/>
      <c r="CS23" s="238"/>
      <c r="CT23" s="238"/>
      <c r="CU23" s="238"/>
      <c r="CV23" s="238"/>
      <c r="CW23" s="238"/>
      <c r="CX23" s="238"/>
      <c r="CY23" s="238"/>
      <c r="CZ23" s="238"/>
      <c r="DA23" s="238"/>
      <c r="DB23" s="238"/>
      <c r="DC23" s="238"/>
      <c r="DD23" s="238"/>
      <c r="DE23" s="238"/>
      <c r="DF23" s="238"/>
      <c r="DG23" s="238"/>
      <c r="DH23" s="238"/>
      <c r="DI23" s="238"/>
      <c r="DJ23" s="238"/>
      <c r="DK23" s="238"/>
      <c r="DL23" s="238"/>
      <c r="DM23" s="238"/>
      <c r="DN23" s="238"/>
      <c r="DO23" s="238"/>
      <c r="DP23" s="238"/>
      <c r="DQ23" s="238"/>
      <c r="DR23" s="238"/>
      <c r="DS23" s="238"/>
      <c r="DT23" s="238"/>
      <c r="DU23" s="238"/>
      <c r="DV23" s="238"/>
      <c r="DW23" s="238"/>
      <c r="DX23" s="238"/>
      <c r="DY23" s="238"/>
      <c r="DZ23" s="238"/>
      <c r="EA23" s="238"/>
      <c r="EB23" s="238"/>
      <c r="EC23" s="238"/>
      <c r="ED23" s="238"/>
      <c r="EE23" s="238"/>
      <c r="EF23" s="238"/>
      <c r="EG23" s="238"/>
      <c r="EH23" s="238"/>
      <c r="EI23" s="238"/>
      <c r="EJ23" s="238"/>
      <c r="EK23" s="238"/>
      <c r="EL23" s="238"/>
      <c r="EM23" s="238"/>
      <c r="EN23" s="238"/>
      <c r="EO23" s="238"/>
      <c r="EP23" s="238"/>
      <c r="EQ23" s="238"/>
      <c r="ER23" s="238"/>
      <c r="ES23" s="238"/>
      <c r="ET23" s="238"/>
      <c r="EU23" s="238"/>
      <c r="EV23" s="238"/>
      <c r="EW23" s="238"/>
      <c r="EX23" s="238"/>
      <c r="EY23" s="238"/>
      <c r="EZ23" s="238"/>
      <c r="FA23" s="238"/>
      <c r="FB23" s="238"/>
      <c r="FC23" s="238"/>
      <c r="FD23" s="238"/>
      <c r="FE23" s="238"/>
      <c r="FF23" s="238"/>
      <c r="FG23" s="238"/>
      <c r="FH23" s="238"/>
      <c r="FI23" s="238"/>
      <c r="FJ23" s="238"/>
      <c r="FK23" s="238"/>
      <c r="FL23" s="238"/>
      <c r="FM23" s="238"/>
      <c r="FN23" s="238"/>
      <c r="FO23" s="238"/>
      <c r="FP23" s="238"/>
      <c r="FQ23" s="238"/>
      <c r="FR23" s="238"/>
      <c r="FS23" s="238"/>
      <c r="FT23" s="238"/>
      <c r="FU23" s="238"/>
      <c r="FV23" s="238"/>
      <c r="FW23" s="238"/>
      <c r="FX23" s="238"/>
      <c r="FY23" s="238"/>
      <c r="FZ23" s="238"/>
      <c r="GA23" s="238"/>
      <c r="GB23" s="238"/>
      <c r="GC23" s="238"/>
      <c r="GD23" s="238"/>
      <c r="GE23" s="238"/>
      <c r="GF23" s="238"/>
      <c r="GG23" s="238"/>
      <c r="GH23" s="238"/>
      <c r="GI23" s="238"/>
      <c r="GJ23" s="238"/>
      <c r="GK23" s="238"/>
      <c r="GL23" s="238"/>
      <c r="GM23" s="238"/>
      <c r="GN23" s="238"/>
      <c r="GO23" s="238"/>
      <c r="GP23" s="238"/>
      <c r="GQ23" s="238"/>
      <c r="GR23" s="238"/>
      <c r="GS23" s="238"/>
      <c r="GT23" s="238"/>
      <c r="GU23" s="238"/>
      <c r="GV23" s="238"/>
      <c r="GW23" s="238"/>
      <c r="GX23" s="238"/>
      <c r="GY23" s="238"/>
      <c r="GZ23" s="238"/>
      <c r="HA23" s="238"/>
      <c r="HB23" s="238"/>
      <c r="HC23" s="238"/>
      <c r="HD23" s="238"/>
      <c r="HE23" s="238"/>
      <c r="HF23" s="238"/>
      <c r="HG23" s="238"/>
      <c r="HH23" s="238"/>
      <c r="HI23" s="238"/>
      <c r="HJ23" s="238"/>
      <c r="HK23" s="238"/>
      <c r="HL23" s="238"/>
      <c r="HM23" s="238"/>
      <c r="HN23" s="238"/>
      <c r="HO23" s="238"/>
      <c r="HP23" s="238"/>
      <c r="HQ23" s="238"/>
      <c r="HR23" s="238"/>
      <c r="HS23" s="238"/>
      <c r="HT23" s="238"/>
      <c r="HU23" s="238"/>
      <c r="HV23" s="238"/>
      <c r="HW23" s="238"/>
      <c r="HX23" s="238"/>
      <c r="HY23" s="238"/>
      <c r="HZ23" s="238"/>
      <c r="IA23" s="238"/>
      <c r="IB23" s="238"/>
      <c r="IC23" s="238"/>
      <c r="ID23" s="238"/>
      <c r="IE23" s="238"/>
      <c r="IF23" s="238"/>
      <c r="IG23" s="238"/>
      <c r="IH23" s="238"/>
      <c r="II23" s="238"/>
      <c r="IJ23" s="238"/>
      <c r="IK23" s="238"/>
      <c r="IL23" s="238"/>
      <c r="IM23" s="238"/>
      <c r="IN23" s="238"/>
      <c r="IO23" s="238"/>
      <c r="IP23" s="238"/>
      <c r="IQ23" s="238"/>
      <c r="IR23" s="238"/>
      <c r="IS23" s="238"/>
      <c r="IT23" s="238"/>
      <c r="IU23" s="238"/>
    </row>
    <row r="24" spans="1:255" s="239" customFormat="1" ht="15">
      <c r="A24" s="292" t="s">
        <v>476</v>
      </c>
      <c r="B24" s="293"/>
      <c r="C24" s="293"/>
      <c r="D24" s="294"/>
      <c r="E24" s="294"/>
      <c r="F24" s="235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7"/>
      <c r="X24" s="237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8"/>
      <c r="AU24" s="238"/>
      <c r="AV24" s="238"/>
      <c r="AW24" s="238"/>
      <c r="AX24" s="238"/>
      <c r="AY24" s="238"/>
      <c r="AZ24" s="238"/>
      <c r="BA24" s="238"/>
      <c r="BB24" s="238"/>
      <c r="BC24" s="238"/>
      <c r="BD24" s="238"/>
      <c r="BE24" s="238"/>
      <c r="BF24" s="238"/>
      <c r="BG24" s="238"/>
      <c r="BH24" s="238"/>
      <c r="BI24" s="238"/>
      <c r="BJ24" s="238"/>
      <c r="BK24" s="238"/>
      <c r="BL24" s="238"/>
      <c r="BM24" s="238"/>
      <c r="BN24" s="238"/>
      <c r="BO24" s="238"/>
      <c r="BP24" s="238"/>
      <c r="BQ24" s="238"/>
      <c r="BR24" s="238"/>
      <c r="BS24" s="238"/>
      <c r="BT24" s="238"/>
      <c r="BU24" s="238"/>
      <c r="BV24" s="238"/>
      <c r="BW24" s="238"/>
      <c r="BX24" s="238"/>
      <c r="BY24" s="238"/>
      <c r="BZ24" s="238"/>
      <c r="CA24" s="238"/>
      <c r="CB24" s="238"/>
      <c r="CC24" s="238"/>
      <c r="CD24" s="238"/>
      <c r="CE24" s="238"/>
      <c r="CF24" s="238"/>
      <c r="CG24" s="238"/>
      <c r="CH24" s="238"/>
      <c r="CI24" s="238"/>
      <c r="CJ24" s="238"/>
      <c r="CK24" s="238"/>
      <c r="CL24" s="238"/>
      <c r="CM24" s="238"/>
      <c r="CN24" s="238"/>
      <c r="CO24" s="238"/>
      <c r="CP24" s="238"/>
      <c r="CQ24" s="238"/>
      <c r="CR24" s="238"/>
      <c r="CS24" s="238"/>
      <c r="CT24" s="238"/>
      <c r="CU24" s="238"/>
      <c r="CV24" s="238"/>
      <c r="CW24" s="238"/>
      <c r="CX24" s="238"/>
      <c r="CY24" s="238"/>
      <c r="CZ24" s="238"/>
      <c r="DA24" s="238"/>
      <c r="DB24" s="238"/>
      <c r="DC24" s="238"/>
      <c r="DD24" s="238"/>
      <c r="DE24" s="238"/>
      <c r="DF24" s="238"/>
      <c r="DG24" s="238"/>
      <c r="DH24" s="238"/>
      <c r="DI24" s="238"/>
      <c r="DJ24" s="238"/>
      <c r="DK24" s="238"/>
      <c r="DL24" s="238"/>
      <c r="DM24" s="238"/>
      <c r="DN24" s="238"/>
      <c r="DO24" s="238"/>
      <c r="DP24" s="238"/>
      <c r="DQ24" s="238"/>
      <c r="DR24" s="238"/>
      <c r="DS24" s="238"/>
      <c r="DT24" s="238"/>
      <c r="DU24" s="238"/>
      <c r="DV24" s="238"/>
      <c r="DW24" s="238"/>
      <c r="DX24" s="238"/>
      <c r="DY24" s="238"/>
      <c r="DZ24" s="238"/>
      <c r="EA24" s="238"/>
      <c r="EB24" s="238"/>
      <c r="EC24" s="238"/>
      <c r="ED24" s="238"/>
      <c r="EE24" s="238"/>
      <c r="EF24" s="238"/>
      <c r="EG24" s="238"/>
      <c r="EH24" s="238"/>
      <c r="EI24" s="238"/>
      <c r="EJ24" s="238"/>
      <c r="EK24" s="238"/>
      <c r="EL24" s="238"/>
      <c r="EM24" s="238"/>
      <c r="EN24" s="238"/>
      <c r="EO24" s="238"/>
      <c r="EP24" s="238"/>
      <c r="EQ24" s="238"/>
      <c r="ER24" s="238"/>
      <c r="ES24" s="238"/>
      <c r="ET24" s="238"/>
      <c r="EU24" s="238"/>
      <c r="EV24" s="238"/>
      <c r="EW24" s="238"/>
      <c r="EX24" s="238"/>
      <c r="EY24" s="238"/>
      <c r="EZ24" s="238"/>
      <c r="FA24" s="238"/>
      <c r="FB24" s="238"/>
      <c r="FC24" s="238"/>
      <c r="FD24" s="238"/>
      <c r="FE24" s="238"/>
      <c r="FF24" s="238"/>
      <c r="FG24" s="238"/>
      <c r="FH24" s="238"/>
      <c r="FI24" s="238"/>
      <c r="FJ24" s="238"/>
      <c r="FK24" s="238"/>
      <c r="FL24" s="238"/>
      <c r="FM24" s="238"/>
      <c r="FN24" s="238"/>
      <c r="FO24" s="238"/>
      <c r="FP24" s="238"/>
      <c r="FQ24" s="238"/>
      <c r="FR24" s="238"/>
      <c r="FS24" s="238"/>
      <c r="FT24" s="238"/>
      <c r="FU24" s="238"/>
      <c r="FV24" s="238"/>
      <c r="FW24" s="238"/>
      <c r="FX24" s="238"/>
      <c r="FY24" s="238"/>
      <c r="FZ24" s="238"/>
      <c r="GA24" s="238"/>
      <c r="GB24" s="238"/>
      <c r="GC24" s="238"/>
      <c r="GD24" s="238"/>
      <c r="GE24" s="238"/>
      <c r="GF24" s="238"/>
      <c r="GG24" s="238"/>
      <c r="GH24" s="238"/>
      <c r="GI24" s="238"/>
      <c r="GJ24" s="238"/>
      <c r="GK24" s="238"/>
      <c r="GL24" s="238"/>
      <c r="GM24" s="238"/>
      <c r="GN24" s="238"/>
      <c r="GO24" s="238"/>
      <c r="GP24" s="238"/>
      <c r="GQ24" s="238"/>
      <c r="GR24" s="238"/>
      <c r="GS24" s="238"/>
      <c r="GT24" s="238"/>
      <c r="GU24" s="238"/>
      <c r="GV24" s="238"/>
      <c r="GW24" s="238"/>
      <c r="GX24" s="238"/>
      <c r="GY24" s="238"/>
      <c r="GZ24" s="238"/>
      <c r="HA24" s="238"/>
      <c r="HB24" s="238"/>
      <c r="HC24" s="238"/>
      <c r="HD24" s="238"/>
      <c r="HE24" s="238"/>
      <c r="HF24" s="238"/>
      <c r="HG24" s="238"/>
      <c r="HH24" s="238"/>
      <c r="HI24" s="238"/>
      <c r="HJ24" s="238"/>
      <c r="HK24" s="238"/>
      <c r="HL24" s="238"/>
      <c r="HM24" s="238"/>
      <c r="HN24" s="238"/>
      <c r="HO24" s="238"/>
      <c r="HP24" s="238"/>
      <c r="HQ24" s="238"/>
      <c r="HR24" s="238"/>
      <c r="HS24" s="238"/>
      <c r="HT24" s="238"/>
      <c r="HU24" s="238"/>
      <c r="HV24" s="238"/>
      <c r="HW24" s="238"/>
      <c r="HX24" s="238"/>
      <c r="HY24" s="238"/>
      <c r="HZ24" s="238"/>
      <c r="IA24" s="238"/>
      <c r="IB24" s="238"/>
      <c r="IC24" s="238"/>
      <c r="ID24" s="238"/>
      <c r="IE24" s="238"/>
      <c r="IF24" s="238"/>
      <c r="IG24" s="238"/>
      <c r="IH24" s="238"/>
      <c r="II24" s="238"/>
      <c r="IJ24" s="238"/>
      <c r="IK24" s="238"/>
      <c r="IL24" s="238"/>
      <c r="IM24" s="238"/>
      <c r="IN24" s="238"/>
      <c r="IO24" s="238"/>
      <c r="IP24" s="238"/>
      <c r="IQ24" s="238"/>
      <c r="IR24" s="238"/>
      <c r="IS24" s="238"/>
      <c r="IT24" s="238"/>
      <c r="IU24" s="238"/>
    </row>
    <row r="25" spans="1:255" s="239" customFormat="1" ht="31.5" customHeight="1">
      <c r="A25" s="296" t="s">
        <v>554</v>
      </c>
      <c r="B25" s="293"/>
      <c r="C25" s="293"/>
      <c r="D25" s="294"/>
      <c r="E25" s="294"/>
      <c r="F25" s="235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7"/>
      <c r="X25" s="237"/>
      <c r="Y25" s="238"/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  <c r="AJ25" s="238"/>
      <c r="AK25" s="238"/>
      <c r="AL25" s="238"/>
      <c r="AM25" s="238"/>
      <c r="AN25" s="238"/>
      <c r="AO25" s="238"/>
      <c r="AP25" s="238"/>
      <c r="AQ25" s="238"/>
      <c r="AR25" s="238"/>
      <c r="AS25" s="238"/>
      <c r="AT25" s="238"/>
      <c r="AU25" s="238"/>
      <c r="AV25" s="238"/>
      <c r="AW25" s="238"/>
      <c r="AX25" s="238"/>
      <c r="AY25" s="238"/>
      <c r="AZ25" s="238"/>
      <c r="BA25" s="238"/>
      <c r="BB25" s="238"/>
      <c r="BC25" s="238"/>
      <c r="BD25" s="238"/>
      <c r="BE25" s="238"/>
      <c r="BF25" s="238"/>
      <c r="BG25" s="238"/>
      <c r="BH25" s="238"/>
      <c r="BI25" s="238"/>
      <c r="BJ25" s="238"/>
      <c r="BK25" s="238"/>
      <c r="BL25" s="238"/>
      <c r="BM25" s="238"/>
      <c r="BN25" s="238"/>
      <c r="BO25" s="238"/>
      <c r="BP25" s="238"/>
      <c r="BQ25" s="238"/>
      <c r="BR25" s="238"/>
      <c r="BS25" s="238"/>
      <c r="BT25" s="238"/>
      <c r="BU25" s="238"/>
      <c r="BV25" s="238"/>
      <c r="BW25" s="238"/>
      <c r="BX25" s="238"/>
      <c r="BY25" s="238"/>
      <c r="BZ25" s="238"/>
      <c r="CA25" s="238"/>
      <c r="CB25" s="238"/>
      <c r="CC25" s="238"/>
      <c r="CD25" s="238"/>
      <c r="CE25" s="238"/>
      <c r="CF25" s="238"/>
      <c r="CG25" s="238"/>
      <c r="CH25" s="238"/>
      <c r="CI25" s="238"/>
      <c r="CJ25" s="238"/>
      <c r="CK25" s="238"/>
      <c r="CL25" s="238"/>
      <c r="CM25" s="238"/>
      <c r="CN25" s="238"/>
      <c r="CO25" s="238"/>
      <c r="CP25" s="238"/>
      <c r="CQ25" s="238"/>
      <c r="CR25" s="238"/>
      <c r="CS25" s="238"/>
      <c r="CT25" s="238"/>
      <c r="CU25" s="238"/>
      <c r="CV25" s="238"/>
      <c r="CW25" s="238"/>
      <c r="CX25" s="238"/>
      <c r="CY25" s="238"/>
      <c r="CZ25" s="238"/>
      <c r="DA25" s="238"/>
      <c r="DB25" s="238"/>
      <c r="DC25" s="238"/>
      <c r="DD25" s="238"/>
      <c r="DE25" s="238"/>
      <c r="DF25" s="238"/>
      <c r="DG25" s="238"/>
      <c r="DH25" s="238"/>
      <c r="DI25" s="238"/>
      <c r="DJ25" s="238"/>
      <c r="DK25" s="238"/>
      <c r="DL25" s="238"/>
      <c r="DM25" s="238"/>
      <c r="DN25" s="238"/>
      <c r="DO25" s="238"/>
      <c r="DP25" s="238"/>
      <c r="DQ25" s="238"/>
      <c r="DR25" s="238"/>
      <c r="DS25" s="238"/>
      <c r="DT25" s="238"/>
      <c r="DU25" s="238"/>
      <c r="DV25" s="238"/>
      <c r="DW25" s="238"/>
      <c r="DX25" s="238"/>
      <c r="DY25" s="238"/>
      <c r="DZ25" s="238"/>
      <c r="EA25" s="238"/>
      <c r="EB25" s="238"/>
      <c r="EC25" s="238"/>
      <c r="ED25" s="238"/>
      <c r="EE25" s="238"/>
      <c r="EF25" s="238"/>
      <c r="EG25" s="238"/>
      <c r="EH25" s="238"/>
      <c r="EI25" s="238"/>
      <c r="EJ25" s="238"/>
      <c r="EK25" s="238"/>
      <c r="EL25" s="238"/>
      <c r="EM25" s="238"/>
      <c r="EN25" s="238"/>
      <c r="EO25" s="238"/>
      <c r="EP25" s="238"/>
      <c r="EQ25" s="238"/>
      <c r="ER25" s="238"/>
      <c r="ES25" s="238"/>
      <c r="ET25" s="238"/>
      <c r="EU25" s="238"/>
      <c r="EV25" s="238"/>
      <c r="EW25" s="238"/>
      <c r="EX25" s="238"/>
      <c r="EY25" s="238"/>
      <c r="EZ25" s="238"/>
      <c r="FA25" s="238"/>
      <c r="FB25" s="238"/>
      <c r="FC25" s="238"/>
      <c r="FD25" s="238"/>
      <c r="FE25" s="238"/>
      <c r="FF25" s="238"/>
      <c r="FG25" s="238"/>
      <c r="FH25" s="238"/>
      <c r="FI25" s="238"/>
      <c r="FJ25" s="238"/>
      <c r="FK25" s="238"/>
      <c r="FL25" s="238"/>
      <c r="FM25" s="238"/>
      <c r="FN25" s="238"/>
      <c r="FO25" s="238"/>
      <c r="FP25" s="238"/>
      <c r="FQ25" s="238"/>
      <c r="FR25" s="238"/>
      <c r="FS25" s="238"/>
      <c r="FT25" s="238"/>
      <c r="FU25" s="238"/>
      <c r="FV25" s="238"/>
      <c r="FW25" s="238"/>
      <c r="FX25" s="238"/>
      <c r="FY25" s="238"/>
      <c r="FZ25" s="238"/>
      <c r="GA25" s="238"/>
      <c r="GB25" s="238"/>
      <c r="GC25" s="238"/>
      <c r="GD25" s="238"/>
      <c r="GE25" s="238"/>
      <c r="GF25" s="238"/>
      <c r="GG25" s="238"/>
      <c r="GH25" s="238"/>
      <c r="GI25" s="238"/>
      <c r="GJ25" s="238"/>
      <c r="GK25" s="238"/>
      <c r="GL25" s="238"/>
      <c r="GM25" s="238"/>
      <c r="GN25" s="238"/>
      <c r="GO25" s="238"/>
      <c r="GP25" s="238"/>
      <c r="GQ25" s="238"/>
      <c r="GR25" s="238"/>
      <c r="GS25" s="238"/>
      <c r="GT25" s="238"/>
      <c r="GU25" s="238"/>
      <c r="GV25" s="238"/>
      <c r="GW25" s="238"/>
      <c r="GX25" s="238"/>
      <c r="GY25" s="238"/>
      <c r="GZ25" s="238"/>
      <c r="HA25" s="238"/>
      <c r="HB25" s="238"/>
      <c r="HC25" s="238"/>
      <c r="HD25" s="238"/>
      <c r="HE25" s="238"/>
      <c r="HF25" s="238"/>
      <c r="HG25" s="238"/>
      <c r="HH25" s="238"/>
      <c r="HI25" s="238"/>
      <c r="HJ25" s="238"/>
      <c r="HK25" s="238"/>
      <c r="HL25" s="238"/>
      <c r="HM25" s="238"/>
      <c r="HN25" s="238"/>
      <c r="HO25" s="238"/>
      <c r="HP25" s="238"/>
      <c r="HQ25" s="238"/>
      <c r="HR25" s="238"/>
      <c r="HS25" s="238"/>
      <c r="HT25" s="238"/>
      <c r="HU25" s="238"/>
      <c r="HV25" s="238"/>
      <c r="HW25" s="238"/>
      <c r="HX25" s="238"/>
      <c r="HY25" s="238"/>
      <c r="HZ25" s="238"/>
      <c r="IA25" s="238"/>
      <c r="IB25" s="238"/>
      <c r="IC25" s="238"/>
      <c r="ID25" s="238"/>
      <c r="IE25" s="238"/>
      <c r="IF25" s="238"/>
      <c r="IG25" s="238"/>
      <c r="IH25" s="238"/>
      <c r="II25" s="238"/>
      <c r="IJ25" s="238"/>
      <c r="IK25" s="238"/>
      <c r="IL25" s="238"/>
      <c r="IM25" s="238"/>
      <c r="IN25" s="238"/>
      <c r="IO25" s="238"/>
      <c r="IP25" s="238"/>
      <c r="IQ25" s="238"/>
      <c r="IR25" s="238"/>
      <c r="IS25" s="238"/>
      <c r="IT25" s="238"/>
      <c r="IU25" s="238"/>
    </row>
    <row r="26" spans="1:255" s="239" customFormat="1" ht="15">
      <c r="A26" s="292" t="s">
        <v>477</v>
      </c>
      <c r="B26" s="293"/>
      <c r="C26" s="293"/>
      <c r="D26" s="294"/>
      <c r="E26" s="294"/>
      <c r="F26" s="235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7"/>
      <c r="X26" s="237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K26" s="238"/>
      <c r="AL26" s="238"/>
      <c r="AM26" s="238"/>
      <c r="AN26" s="238"/>
      <c r="AO26" s="238"/>
      <c r="AP26" s="238"/>
      <c r="AQ26" s="238"/>
      <c r="AR26" s="238"/>
      <c r="AS26" s="238"/>
      <c r="AT26" s="238"/>
      <c r="AU26" s="238"/>
      <c r="AV26" s="238"/>
      <c r="AW26" s="238"/>
      <c r="AX26" s="238"/>
      <c r="AY26" s="238"/>
      <c r="AZ26" s="238"/>
      <c r="BA26" s="238"/>
      <c r="BB26" s="238"/>
      <c r="BC26" s="238"/>
      <c r="BD26" s="238"/>
      <c r="BE26" s="238"/>
      <c r="BF26" s="238"/>
      <c r="BG26" s="238"/>
      <c r="BH26" s="238"/>
      <c r="BI26" s="238"/>
      <c r="BJ26" s="238"/>
      <c r="BK26" s="238"/>
      <c r="BL26" s="238"/>
      <c r="BM26" s="238"/>
      <c r="BN26" s="238"/>
      <c r="BO26" s="238"/>
      <c r="BP26" s="238"/>
      <c r="BQ26" s="238"/>
      <c r="BR26" s="238"/>
      <c r="BS26" s="238"/>
      <c r="BT26" s="238"/>
      <c r="BU26" s="238"/>
      <c r="BV26" s="238"/>
      <c r="BW26" s="238"/>
      <c r="BX26" s="238"/>
      <c r="BY26" s="238"/>
      <c r="BZ26" s="238"/>
      <c r="CA26" s="238"/>
      <c r="CB26" s="238"/>
      <c r="CC26" s="238"/>
      <c r="CD26" s="238"/>
      <c r="CE26" s="238"/>
      <c r="CF26" s="238"/>
      <c r="CG26" s="238"/>
      <c r="CH26" s="238"/>
      <c r="CI26" s="238"/>
      <c r="CJ26" s="238"/>
      <c r="CK26" s="238"/>
      <c r="CL26" s="238"/>
      <c r="CM26" s="238"/>
      <c r="CN26" s="238"/>
      <c r="CO26" s="238"/>
      <c r="CP26" s="238"/>
      <c r="CQ26" s="238"/>
      <c r="CR26" s="238"/>
      <c r="CS26" s="238"/>
      <c r="CT26" s="238"/>
      <c r="CU26" s="238"/>
      <c r="CV26" s="238"/>
      <c r="CW26" s="238"/>
      <c r="CX26" s="238"/>
      <c r="CY26" s="238"/>
      <c r="CZ26" s="238"/>
      <c r="DA26" s="238"/>
      <c r="DB26" s="238"/>
      <c r="DC26" s="238"/>
      <c r="DD26" s="238"/>
      <c r="DE26" s="238"/>
      <c r="DF26" s="238"/>
      <c r="DG26" s="238"/>
      <c r="DH26" s="238"/>
      <c r="DI26" s="238"/>
      <c r="DJ26" s="238"/>
      <c r="DK26" s="238"/>
      <c r="DL26" s="238"/>
      <c r="DM26" s="238"/>
      <c r="DN26" s="238"/>
      <c r="DO26" s="238"/>
      <c r="DP26" s="238"/>
      <c r="DQ26" s="238"/>
      <c r="DR26" s="238"/>
      <c r="DS26" s="238"/>
      <c r="DT26" s="238"/>
      <c r="DU26" s="238"/>
      <c r="DV26" s="238"/>
      <c r="DW26" s="238"/>
      <c r="DX26" s="238"/>
      <c r="DY26" s="238"/>
      <c r="DZ26" s="238"/>
      <c r="EA26" s="238"/>
      <c r="EB26" s="238"/>
      <c r="EC26" s="238"/>
      <c r="ED26" s="238"/>
      <c r="EE26" s="238"/>
      <c r="EF26" s="238"/>
      <c r="EG26" s="238"/>
      <c r="EH26" s="238"/>
      <c r="EI26" s="238"/>
      <c r="EJ26" s="238"/>
      <c r="EK26" s="238"/>
      <c r="EL26" s="238"/>
      <c r="EM26" s="238"/>
      <c r="EN26" s="238"/>
      <c r="EO26" s="238"/>
      <c r="EP26" s="238"/>
      <c r="EQ26" s="238"/>
      <c r="ER26" s="238"/>
      <c r="ES26" s="238"/>
      <c r="ET26" s="238"/>
      <c r="EU26" s="238"/>
      <c r="EV26" s="238"/>
      <c r="EW26" s="238"/>
      <c r="EX26" s="238"/>
      <c r="EY26" s="238"/>
      <c r="EZ26" s="238"/>
      <c r="FA26" s="238"/>
      <c r="FB26" s="238"/>
      <c r="FC26" s="238"/>
      <c r="FD26" s="238"/>
      <c r="FE26" s="238"/>
      <c r="FF26" s="238"/>
      <c r="FG26" s="238"/>
      <c r="FH26" s="238"/>
      <c r="FI26" s="238"/>
      <c r="FJ26" s="238"/>
      <c r="FK26" s="238"/>
      <c r="FL26" s="238"/>
      <c r="FM26" s="238"/>
      <c r="FN26" s="238"/>
      <c r="FO26" s="238"/>
      <c r="FP26" s="238"/>
      <c r="FQ26" s="238"/>
      <c r="FR26" s="238"/>
      <c r="FS26" s="238"/>
      <c r="FT26" s="238"/>
      <c r="FU26" s="238"/>
      <c r="FV26" s="238"/>
      <c r="FW26" s="238"/>
      <c r="FX26" s="238"/>
      <c r="FY26" s="238"/>
      <c r="FZ26" s="238"/>
      <c r="GA26" s="238"/>
      <c r="GB26" s="238"/>
      <c r="GC26" s="238"/>
      <c r="GD26" s="238"/>
      <c r="GE26" s="238"/>
      <c r="GF26" s="238"/>
      <c r="GG26" s="238"/>
      <c r="GH26" s="238"/>
      <c r="GI26" s="238"/>
      <c r="GJ26" s="238"/>
      <c r="GK26" s="238"/>
      <c r="GL26" s="238"/>
      <c r="GM26" s="238"/>
      <c r="GN26" s="238"/>
      <c r="GO26" s="238"/>
      <c r="GP26" s="238"/>
      <c r="GQ26" s="238"/>
      <c r="GR26" s="238"/>
      <c r="GS26" s="238"/>
      <c r="GT26" s="238"/>
      <c r="GU26" s="238"/>
      <c r="GV26" s="238"/>
      <c r="GW26" s="238"/>
      <c r="GX26" s="238"/>
      <c r="GY26" s="238"/>
      <c r="GZ26" s="238"/>
      <c r="HA26" s="238"/>
      <c r="HB26" s="238"/>
      <c r="HC26" s="238"/>
      <c r="HD26" s="238"/>
      <c r="HE26" s="238"/>
      <c r="HF26" s="238"/>
      <c r="HG26" s="238"/>
      <c r="HH26" s="238"/>
      <c r="HI26" s="238"/>
      <c r="HJ26" s="238"/>
      <c r="HK26" s="238"/>
      <c r="HL26" s="238"/>
      <c r="HM26" s="238"/>
      <c r="HN26" s="238"/>
      <c r="HO26" s="238"/>
      <c r="HP26" s="238"/>
      <c r="HQ26" s="238"/>
      <c r="HR26" s="238"/>
      <c r="HS26" s="238"/>
      <c r="HT26" s="238"/>
      <c r="HU26" s="238"/>
      <c r="HV26" s="238"/>
      <c r="HW26" s="238"/>
      <c r="HX26" s="238"/>
      <c r="HY26" s="238"/>
      <c r="HZ26" s="238"/>
      <c r="IA26" s="238"/>
      <c r="IB26" s="238"/>
      <c r="IC26" s="238"/>
      <c r="ID26" s="238"/>
      <c r="IE26" s="238"/>
      <c r="IF26" s="238"/>
      <c r="IG26" s="238"/>
      <c r="IH26" s="238"/>
      <c r="II26" s="238"/>
      <c r="IJ26" s="238"/>
      <c r="IK26" s="238"/>
      <c r="IL26" s="238"/>
      <c r="IM26" s="238"/>
      <c r="IN26" s="238"/>
      <c r="IO26" s="238"/>
      <c r="IP26" s="238"/>
      <c r="IQ26" s="238"/>
      <c r="IR26" s="238"/>
      <c r="IS26" s="238"/>
      <c r="IT26" s="238"/>
      <c r="IU26" s="238"/>
    </row>
    <row r="27" spans="1:255" s="239" customFormat="1" ht="25.5">
      <c r="A27" s="297" t="s">
        <v>68</v>
      </c>
      <c r="B27" s="293"/>
      <c r="C27" s="293"/>
      <c r="D27" s="294"/>
      <c r="E27" s="294"/>
      <c r="F27" s="235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7"/>
      <c r="X27" s="237"/>
      <c r="Y27" s="238"/>
      <c r="Z27" s="238"/>
      <c r="AA27" s="238"/>
      <c r="AB27" s="238"/>
      <c r="AC27" s="238"/>
      <c r="AD27" s="238"/>
      <c r="AE27" s="238"/>
      <c r="AF27" s="238"/>
      <c r="AG27" s="238"/>
      <c r="AH27" s="238"/>
      <c r="AI27" s="238"/>
      <c r="AJ27" s="238"/>
      <c r="AK27" s="238"/>
      <c r="AL27" s="238"/>
      <c r="AM27" s="238"/>
      <c r="AN27" s="238"/>
      <c r="AO27" s="238"/>
      <c r="AP27" s="238"/>
      <c r="AQ27" s="238"/>
      <c r="AR27" s="238"/>
      <c r="AS27" s="238"/>
      <c r="AT27" s="238"/>
      <c r="AU27" s="238"/>
      <c r="AV27" s="238"/>
      <c r="AW27" s="238"/>
      <c r="AX27" s="238"/>
      <c r="AY27" s="238"/>
      <c r="AZ27" s="238"/>
      <c r="BA27" s="238"/>
      <c r="BB27" s="238"/>
      <c r="BC27" s="238"/>
      <c r="BD27" s="238"/>
      <c r="BE27" s="238"/>
      <c r="BF27" s="238"/>
      <c r="BG27" s="238"/>
      <c r="BH27" s="238"/>
      <c r="BI27" s="238"/>
      <c r="BJ27" s="238"/>
      <c r="BK27" s="238"/>
      <c r="BL27" s="238"/>
      <c r="BM27" s="238"/>
      <c r="BN27" s="238"/>
      <c r="BO27" s="238"/>
      <c r="BP27" s="238"/>
      <c r="BQ27" s="238"/>
      <c r="BR27" s="238"/>
      <c r="BS27" s="238"/>
      <c r="BT27" s="238"/>
      <c r="BU27" s="238"/>
      <c r="BV27" s="238"/>
      <c r="BW27" s="238"/>
      <c r="BX27" s="238"/>
      <c r="BY27" s="238"/>
      <c r="BZ27" s="238"/>
      <c r="CA27" s="238"/>
      <c r="CB27" s="238"/>
      <c r="CC27" s="238"/>
      <c r="CD27" s="238"/>
      <c r="CE27" s="238"/>
      <c r="CF27" s="238"/>
      <c r="CG27" s="238"/>
      <c r="CH27" s="238"/>
      <c r="CI27" s="238"/>
      <c r="CJ27" s="238"/>
      <c r="CK27" s="238"/>
      <c r="CL27" s="238"/>
      <c r="CM27" s="238"/>
      <c r="CN27" s="238"/>
      <c r="CO27" s="238"/>
      <c r="CP27" s="238"/>
      <c r="CQ27" s="238"/>
      <c r="CR27" s="238"/>
      <c r="CS27" s="238"/>
      <c r="CT27" s="238"/>
      <c r="CU27" s="238"/>
      <c r="CV27" s="238"/>
      <c r="CW27" s="238"/>
      <c r="CX27" s="238"/>
      <c r="CY27" s="238"/>
      <c r="CZ27" s="238"/>
      <c r="DA27" s="238"/>
      <c r="DB27" s="238"/>
      <c r="DC27" s="238"/>
      <c r="DD27" s="238"/>
      <c r="DE27" s="238"/>
      <c r="DF27" s="238"/>
      <c r="DG27" s="238"/>
      <c r="DH27" s="238"/>
      <c r="DI27" s="238"/>
      <c r="DJ27" s="238"/>
      <c r="DK27" s="238"/>
      <c r="DL27" s="238"/>
      <c r="DM27" s="238"/>
      <c r="DN27" s="238"/>
      <c r="DO27" s="238"/>
      <c r="DP27" s="238"/>
      <c r="DQ27" s="238"/>
      <c r="DR27" s="238"/>
      <c r="DS27" s="238"/>
      <c r="DT27" s="238"/>
      <c r="DU27" s="238"/>
      <c r="DV27" s="238"/>
      <c r="DW27" s="238"/>
      <c r="DX27" s="238"/>
      <c r="DY27" s="238"/>
      <c r="DZ27" s="238"/>
      <c r="EA27" s="238"/>
      <c r="EB27" s="238"/>
      <c r="EC27" s="238"/>
      <c r="ED27" s="238"/>
      <c r="EE27" s="238"/>
      <c r="EF27" s="238"/>
      <c r="EG27" s="238"/>
      <c r="EH27" s="238"/>
      <c r="EI27" s="238"/>
      <c r="EJ27" s="238"/>
      <c r="EK27" s="238"/>
      <c r="EL27" s="238"/>
      <c r="EM27" s="238"/>
      <c r="EN27" s="238"/>
      <c r="EO27" s="238"/>
      <c r="EP27" s="238"/>
      <c r="EQ27" s="238"/>
      <c r="ER27" s="238"/>
      <c r="ES27" s="238"/>
      <c r="ET27" s="238"/>
      <c r="EU27" s="238"/>
      <c r="EV27" s="238"/>
      <c r="EW27" s="238"/>
      <c r="EX27" s="238"/>
      <c r="EY27" s="238"/>
      <c r="EZ27" s="238"/>
      <c r="FA27" s="238"/>
      <c r="FB27" s="238"/>
      <c r="FC27" s="238"/>
      <c r="FD27" s="238"/>
      <c r="FE27" s="238"/>
      <c r="FF27" s="238"/>
      <c r="FG27" s="238"/>
      <c r="FH27" s="238"/>
      <c r="FI27" s="238"/>
      <c r="FJ27" s="238"/>
      <c r="FK27" s="238"/>
      <c r="FL27" s="238"/>
      <c r="FM27" s="238"/>
      <c r="FN27" s="238"/>
      <c r="FO27" s="238"/>
      <c r="FP27" s="238"/>
      <c r="FQ27" s="238"/>
      <c r="FR27" s="238"/>
      <c r="FS27" s="238"/>
      <c r="FT27" s="238"/>
      <c r="FU27" s="238"/>
      <c r="FV27" s="238"/>
      <c r="FW27" s="238"/>
      <c r="FX27" s="238"/>
      <c r="FY27" s="238"/>
      <c r="FZ27" s="238"/>
      <c r="GA27" s="238"/>
      <c r="GB27" s="238"/>
      <c r="GC27" s="238"/>
      <c r="GD27" s="238"/>
      <c r="GE27" s="238"/>
      <c r="GF27" s="238"/>
      <c r="GG27" s="238"/>
      <c r="GH27" s="238"/>
      <c r="GI27" s="238"/>
      <c r="GJ27" s="238"/>
      <c r="GK27" s="238"/>
      <c r="GL27" s="238"/>
      <c r="GM27" s="238"/>
      <c r="GN27" s="238"/>
      <c r="GO27" s="238"/>
      <c r="GP27" s="238"/>
      <c r="GQ27" s="238"/>
      <c r="GR27" s="238"/>
      <c r="GS27" s="238"/>
      <c r="GT27" s="238"/>
      <c r="GU27" s="238"/>
      <c r="GV27" s="238"/>
      <c r="GW27" s="238"/>
      <c r="GX27" s="238"/>
      <c r="GY27" s="238"/>
      <c r="GZ27" s="238"/>
      <c r="HA27" s="238"/>
      <c r="HB27" s="238"/>
      <c r="HC27" s="238"/>
      <c r="HD27" s="238"/>
      <c r="HE27" s="238"/>
      <c r="HF27" s="238"/>
      <c r="HG27" s="238"/>
      <c r="HH27" s="238"/>
      <c r="HI27" s="238"/>
      <c r="HJ27" s="238"/>
      <c r="HK27" s="238"/>
      <c r="HL27" s="238"/>
      <c r="HM27" s="238"/>
      <c r="HN27" s="238"/>
      <c r="HO27" s="238"/>
      <c r="HP27" s="238"/>
      <c r="HQ27" s="238"/>
      <c r="HR27" s="238"/>
      <c r="HS27" s="238"/>
      <c r="HT27" s="238"/>
      <c r="HU27" s="238"/>
      <c r="HV27" s="238"/>
      <c r="HW27" s="238"/>
      <c r="HX27" s="238"/>
      <c r="HY27" s="238"/>
      <c r="HZ27" s="238"/>
      <c r="IA27" s="238"/>
      <c r="IB27" s="238"/>
      <c r="IC27" s="238"/>
      <c r="ID27" s="238"/>
      <c r="IE27" s="238"/>
      <c r="IF27" s="238"/>
      <c r="IG27" s="238"/>
      <c r="IH27" s="238"/>
      <c r="II27" s="238"/>
      <c r="IJ27" s="238"/>
      <c r="IK27" s="238"/>
      <c r="IL27" s="238"/>
      <c r="IM27" s="238"/>
      <c r="IN27" s="238"/>
      <c r="IO27" s="238"/>
      <c r="IP27" s="238"/>
      <c r="IQ27" s="238"/>
      <c r="IR27" s="238"/>
      <c r="IS27" s="238"/>
      <c r="IT27" s="238"/>
      <c r="IU27" s="238"/>
    </row>
    <row r="28" spans="1:255" s="239" customFormat="1" ht="15">
      <c r="A28" s="298" t="s">
        <v>745</v>
      </c>
      <c r="B28" s="293"/>
      <c r="C28" s="293"/>
      <c r="D28" s="294"/>
      <c r="E28" s="294"/>
      <c r="F28" s="235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7"/>
      <c r="X28" s="237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  <c r="AN28" s="238"/>
      <c r="AO28" s="238"/>
      <c r="AP28" s="238"/>
      <c r="AQ28" s="238"/>
      <c r="AR28" s="238"/>
      <c r="AS28" s="238"/>
      <c r="AT28" s="238"/>
      <c r="AU28" s="238"/>
      <c r="AV28" s="238"/>
      <c r="AW28" s="238"/>
      <c r="AX28" s="238"/>
      <c r="AY28" s="238"/>
      <c r="AZ28" s="238"/>
      <c r="BA28" s="238"/>
      <c r="BB28" s="238"/>
      <c r="BC28" s="238"/>
      <c r="BD28" s="238"/>
      <c r="BE28" s="238"/>
      <c r="BF28" s="238"/>
      <c r="BG28" s="238"/>
      <c r="BH28" s="238"/>
      <c r="BI28" s="238"/>
      <c r="BJ28" s="238"/>
      <c r="BK28" s="238"/>
      <c r="BL28" s="238"/>
      <c r="BM28" s="238"/>
      <c r="BN28" s="238"/>
      <c r="BO28" s="238"/>
      <c r="BP28" s="238"/>
      <c r="BQ28" s="238"/>
      <c r="BR28" s="238"/>
      <c r="BS28" s="238"/>
      <c r="BT28" s="238"/>
      <c r="BU28" s="238"/>
      <c r="BV28" s="238"/>
      <c r="BW28" s="238"/>
      <c r="BX28" s="238"/>
      <c r="BY28" s="238"/>
      <c r="BZ28" s="238"/>
      <c r="CA28" s="238"/>
      <c r="CB28" s="238"/>
      <c r="CC28" s="238"/>
      <c r="CD28" s="238"/>
      <c r="CE28" s="238"/>
      <c r="CF28" s="238"/>
      <c r="CG28" s="238"/>
      <c r="CH28" s="238"/>
      <c r="CI28" s="238"/>
      <c r="CJ28" s="238"/>
      <c r="CK28" s="238"/>
      <c r="CL28" s="238"/>
      <c r="CM28" s="238"/>
      <c r="CN28" s="238"/>
      <c r="CO28" s="238"/>
      <c r="CP28" s="238"/>
      <c r="CQ28" s="238"/>
      <c r="CR28" s="238"/>
      <c r="CS28" s="238"/>
      <c r="CT28" s="238"/>
      <c r="CU28" s="238"/>
      <c r="CV28" s="238"/>
      <c r="CW28" s="238"/>
      <c r="CX28" s="238"/>
      <c r="CY28" s="238"/>
      <c r="CZ28" s="238"/>
      <c r="DA28" s="238"/>
      <c r="DB28" s="238"/>
      <c r="DC28" s="238"/>
      <c r="DD28" s="238"/>
      <c r="DE28" s="238"/>
      <c r="DF28" s="238"/>
      <c r="DG28" s="238"/>
      <c r="DH28" s="238"/>
      <c r="DI28" s="238"/>
      <c r="DJ28" s="238"/>
      <c r="DK28" s="238"/>
      <c r="DL28" s="238"/>
      <c r="DM28" s="238"/>
      <c r="DN28" s="238"/>
      <c r="DO28" s="238"/>
      <c r="DP28" s="238"/>
      <c r="DQ28" s="238"/>
      <c r="DR28" s="238"/>
      <c r="DS28" s="238"/>
      <c r="DT28" s="238"/>
      <c r="DU28" s="238"/>
      <c r="DV28" s="238"/>
      <c r="DW28" s="238"/>
      <c r="DX28" s="238"/>
      <c r="DY28" s="238"/>
      <c r="DZ28" s="238"/>
      <c r="EA28" s="238"/>
      <c r="EB28" s="238"/>
      <c r="EC28" s="238"/>
      <c r="ED28" s="238"/>
      <c r="EE28" s="238"/>
      <c r="EF28" s="238"/>
      <c r="EG28" s="238"/>
      <c r="EH28" s="238"/>
      <c r="EI28" s="238"/>
      <c r="EJ28" s="238"/>
      <c r="EK28" s="238"/>
      <c r="EL28" s="238"/>
      <c r="EM28" s="238"/>
      <c r="EN28" s="238"/>
      <c r="EO28" s="238"/>
      <c r="EP28" s="238"/>
      <c r="EQ28" s="238"/>
      <c r="ER28" s="238"/>
      <c r="ES28" s="238"/>
      <c r="ET28" s="238"/>
      <c r="EU28" s="238"/>
      <c r="EV28" s="238"/>
      <c r="EW28" s="238"/>
      <c r="EX28" s="238"/>
      <c r="EY28" s="238"/>
      <c r="EZ28" s="238"/>
      <c r="FA28" s="238"/>
      <c r="FB28" s="238"/>
      <c r="FC28" s="238"/>
      <c r="FD28" s="238"/>
      <c r="FE28" s="238"/>
      <c r="FF28" s="238"/>
      <c r="FG28" s="238"/>
      <c r="FH28" s="238"/>
      <c r="FI28" s="238"/>
      <c r="FJ28" s="238"/>
      <c r="FK28" s="238"/>
      <c r="FL28" s="238"/>
      <c r="FM28" s="238"/>
      <c r="FN28" s="238"/>
      <c r="FO28" s="238"/>
      <c r="FP28" s="238"/>
      <c r="FQ28" s="238"/>
      <c r="FR28" s="238"/>
      <c r="FS28" s="238"/>
      <c r="FT28" s="238"/>
      <c r="FU28" s="238"/>
      <c r="FV28" s="238"/>
      <c r="FW28" s="238"/>
      <c r="FX28" s="238"/>
      <c r="FY28" s="238"/>
      <c r="FZ28" s="238"/>
      <c r="GA28" s="238"/>
      <c r="GB28" s="238"/>
      <c r="GC28" s="238"/>
      <c r="GD28" s="238"/>
      <c r="GE28" s="238"/>
      <c r="GF28" s="238"/>
      <c r="GG28" s="238"/>
      <c r="GH28" s="238"/>
      <c r="GI28" s="238"/>
      <c r="GJ28" s="238"/>
      <c r="GK28" s="238"/>
      <c r="GL28" s="238"/>
      <c r="GM28" s="238"/>
      <c r="GN28" s="238"/>
      <c r="GO28" s="238"/>
      <c r="GP28" s="238"/>
      <c r="GQ28" s="238"/>
      <c r="GR28" s="238"/>
      <c r="GS28" s="238"/>
      <c r="GT28" s="238"/>
      <c r="GU28" s="238"/>
      <c r="GV28" s="238"/>
      <c r="GW28" s="238"/>
      <c r="GX28" s="238"/>
      <c r="GY28" s="238"/>
      <c r="GZ28" s="238"/>
      <c r="HA28" s="238"/>
      <c r="HB28" s="238"/>
      <c r="HC28" s="238"/>
      <c r="HD28" s="238"/>
      <c r="HE28" s="238"/>
      <c r="HF28" s="238"/>
      <c r="HG28" s="238"/>
      <c r="HH28" s="238"/>
      <c r="HI28" s="238"/>
      <c r="HJ28" s="238"/>
      <c r="HK28" s="238"/>
      <c r="HL28" s="238"/>
      <c r="HM28" s="238"/>
      <c r="HN28" s="238"/>
      <c r="HO28" s="238"/>
      <c r="HP28" s="238"/>
      <c r="HQ28" s="238"/>
      <c r="HR28" s="238"/>
      <c r="HS28" s="238"/>
      <c r="HT28" s="238"/>
      <c r="HU28" s="238"/>
      <c r="HV28" s="238"/>
      <c r="HW28" s="238"/>
      <c r="HX28" s="238"/>
      <c r="HY28" s="238"/>
      <c r="HZ28" s="238"/>
      <c r="IA28" s="238"/>
      <c r="IB28" s="238"/>
      <c r="IC28" s="238"/>
      <c r="ID28" s="238"/>
      <c r="IE28" s="238"/>
      <c r="IF28" s="238"/>
      <c r="IG28" s="238"/>
      <c r="IH28" s="238"/>
      <c r="II28" s="238"/>
      <c r="IJ28" s="238"/>
      <c r="IK28" s="238"/>
      <c r="IL28" s="238"/>
      <c r="IM28" s="238"/>
      <c r="IN28" s="238"/>
      <c r="IO28" s="238"/>
      <c r="IP28" s="238"/>
      <c r="IQ28" s="238"/>
      <c r="IR28" s="238"/>
      <c r="IS28" s="238"/>
      <c r="IT28" s="238"/>
      <c r="IU28" s="238"/>
    </row>
    <row r="29" spans="1:255" s="239" customFormat="1" ht="30.75" customHeight="1">
      <c r="A29" s="298" t="s">
        <v>69</v>
      </c>
      <c r="B29" s="293"/>
      <c r="C29" s="293"/>
      <c r="D29" s="294"/>
      <c r="E29" s="294"/>
      <c r="F29" s="235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7"/>
      <c r="X29" s="237"/>
      <c r="Y29" s="238"/>
      <c r="Z29" s="238"/>
      <c r="AA29" s="238"/>
      <c r="AB29" s="238"/>
      <c r="AC29" s="238"/>
      <c r="AD29" s="238"/>
      <c r="AE29" s="238"/>
      <c r="AF29" s="238"/>
      <c r="AG29" s="238"/>
      <c r="AH29" s="238"/>
      <c r="AI29" s="238"/>
      <c r="AJ29" s="238"/>
      <c r="AK29" s="238"/>
      <c r="AL29" s="238"/>
      <c r="AM29" s="238"/>
      <c r="AN29" s="238"/>
      <c r="AO29" s="238"/>
      <c r="AP29" s="238"/>
      <c r="AQ29" s="238"/>
      <c r="AR29" s="238"/>
      <c r="AS29" s="238"/>
      <c r="AT29" s="238"/>
      <c r="AU29" s="238"/>
      <c r="AV29" s="238"/>
      <c r="AW29" s="238"/>
      <c r="AX29" s="238"/>
      <c r="AY29" s="238"/>
      <c r="AZ29" s="238"/>
      <c r="BA29" s="238"/>
      <c r="BB29" s="238"/>
      <c r="BC29" s="238"/>
      <c r="BD29" s="238"/>
      <c r="BE29" s="238"/>
      <c r="BF29" s="238"/>
      <c r="BG29" s="238"/>
      <c r="BH29" s="238"/>
      <c r="BI29" s="238"/>
      <c r="BJ29" s="238"/>
      <c r="BK29" s="238"/>
      <c r="BL29" s="238"/>
      <c r="BM29" s="238"/>
      <c r="BN29" s="238"/>
      <c r="BO29" s="238"/>
      <c r="BP29" s="238"/>
      <c r="BQ29" s="238"/>
      <c r="BR29" s="238"/>
      <c r="BS29" s="238"/>
      <c r="BT29" s="238"/>
      <c r="BU29" s="238"/>
      <c r="BV29" s="238"/>
      <c r="BW29" s="238"/>
      <c r="BX29" s="238"/>
      <c r="BY29" s="238"/>
      <c r="BZ29" s="238"/>
      <c r="CA29" s="238"/>
      <c r="CB29" s="238"/>
      <c r="CC29" s="238"/>
      <c r="CD29" s="238"/>
      <c r="CE29" s="238"/>
      <c r="CF29" s="238"/>
      <c r="CG29" s="238"/>
      <c r="CH29" s="238"/>
      <c r="CI29" s="238"/>
      <c r="CJ29" s="238"/>
      <c r="CK29" s="238"/>
      <c r="CL29" s="238"/>
      <c r="CM29" s="238"/>
      <c r="CN29" s="238"/>
      <c r="CO29" s="238"/>
      <c r="CP29" s="238"/>
      <c r="CQ29" s="238"/>
      <c r="CR29" s="238"/>
      <c r="CS29" s="238"/>
      <c r="CT29" s="238"/>
      <c r="CU29" s="238"/>
      <c r="CV29" s="238"/>
      <c r="CW29" s="238"/>
      <c r="CX29" s="238"/>
      <c r="CY29" s="238"/>
      <c r="CZ29" s="238"/>
      <c r="DA29" s="238"/>
      <c r="DB29" s="238"/>
      <c r="DC29" s="238"/>
      <c r="DD29" s="238"/>
      <c r="DE29" s="238"/>
      <c r="DF29" s="238"/>
      <c r="DG29" s="238"/>
      <c r="DH29" s="238"/>
      <c r="DI29" s="238"/>
      <c r="DJ29" s="238"/>
      <c r="DK29" s="238"/>
      <c r="DL29" s="238"/>
      <c r="DM29" s="238"/>
      <c r="DN29" s="238"/>
      <c r="DO29" s="238"/>
      <c r="DP29" s="238"/>
      <c r="DQ29" s="238"/>
      <c r="DR29" s="238"/>
      <c r="DS29" s="238"/>
      <c r="DT29" s="238"/>
      <c r="DU29" s="238"/>
      <c r="DV29" s="238"/>
      <c r="DW29" s="238"/>
      <c r="DX29" s="238"/>
      <c r="DY29" s="238"/>
      <c r="DZ29" s="238"/>
      <c r="EA29" s="238"/>
      <c r="EB29" s="238"/>
      <c r="EC29" s="238"/>
      <c r="ED29" s="238"/>
      <c r="EE29" s="238"/>
      <c r="EF29" s="238"/>
      <c r="EG29" s="238"/>
      <c r="EH29" s="238"/>
      <c r="EI29" s="238"/>
      <c r="EJ29" s="238"/>
      <c r="EK29" s="238"/>
      <c r="EL29" s="238"/>
      <c r="EM29" s="238"/>
      <c r="EN29" s="238"/>
      <c r="EO29" s="238"/>
      <c r="EP29" s="238"/>
      <c r="EQ29" s="238"/>
      <c r="ER29" s="238"/>
      <c r="ES29" s="238"/>
      <c r="ET29" s="238"/>
      <c r="EU29" s="238"/>
      <c r="EV29" s="238"/>
      <c r="EW29" s="238"/>
      <c r="EX29" s="238"/>
      <c r="EY29" s="238"/>
      <c r="EZ29" s="238"/>
      <c r="FA29" s="238"/>
      <c r="FB29" s="238"/>
      <c r="FC29" s="238"/>
      <c r="FD29" s="238"/>
      <c r="FE29" s="238"/>
      <c r="FF29" s="238"/>
      <c r="FG29" s="238"/>
      <c r="FH29" s="238"/>
      <c r="FI29" s="238"/>
      <c r="FJ29" s="238"/>
      <c r="FK29" s="238"/>
      <c r="FL29" s="238"/>
      <c r="FM29" s="238"/>
      <c r="FN29" s="238"/>
      <c r="FO29" s="238"/>
      <c r="FP29" s="238"/>
      <c r="FQ29" s="238"/>
      <c r="FR29" s="238"/>
      <c r="FS29" s="238"/>
      <c r="FT29" s="238"/>
      <c r="FU29" s="238"/>
      <c r="FV29" s="238"/>
      <c r="FW29" s="238"/>
      <c r="FX29" s="238"/>
      <c r="FY29" s="238"/>
      <c r="FZ29" s="238"/>
      <c r="GA29" s="238"/>
      <c r="GB29" s="238"/>
      <c r="GC29" s="238"/>
      <c r="GD29" s="238"/>
      <c r="GE29" s="238"/>
      <c r="GF29" s="238"/>
      <c r="GG29" s="238"/>
      <c r="GH29" s="238"/>
      <c r="GI29" s="238"/>
      <c r="GJ29" s="238"/>
      <c r="GK29" s="238"/>
      <c r="GL29" s="238"/>
      <c r="GM29" s="238"/>
      <c r="GN29" s="238"/>
      <c r="GO29" s="238"/>
      <c r="GP29" s="238"/>
      <c r="GQ29" s="238"/>
      <c r="GR29" s="238"/>
      <c r="GS29" s="238"/>
      <c r="GT29" s="238"/>
      <c r="GU29" s="238"/>
      <c r="GV29" s="238"/>
      <c r="GW29" s="238"/>
      <c r="GX29" s="238"/>
      <c r="GY29" s="238"/>
      <c r="GZ29" s="238"/>
      <c r="HA29" s="238"/>
      <c r="HB29" s="238"/>
      <c r="HC29" s="238"/>
      <c r="HD29" s="238"/>
      <c r="HE29" s="238"/>
      <c r="HF29" s="238"/>
      <c r="HG29" s="238"/>
      <c r="HH29" s="238"/>
      <c r="HI29" s="238"/>
      <c r="HJ29" s="238"/>
      <c r="HK29" s="238"/>
      <c r="HL29" s="238"/>
      <c r="HM29" s="238"/>
      <c r="HN29" s="238"/>
      <c r="HO29" s="238"/>
      <c r="HP29" s="238"/>
      <c r="HQ29" s="238"/>
      <c r="HR29" s="238"/>
      <c r="HS29" s="238"/>
      <c r="HT29" s="238"/>
      <c r="HU29" s="238"/>
      <c r="HV29" s="238"/>
      <c r="HW29" s="238"/>
      <c r="HX29" s="238"/>
      <c r="HY29" s="238"/>
      <c r="HZ29" s="238"/>
      <c r="IA29" s="238"/>
      <c r="IB29" s="238"/>
      <c r="IC29" s="238"/>
      <c r="ID29" s="238"/>
      <c r="IE29" s="238"/>
      <c r="IF29" s="238"/>
      <c r="IG29" s="238"/>
      <c r="IH29" s="238"/>
      <c r="II29" s="238"/>
      <c r="IJ29" s="238"/>
      <c r="IK29" s="238"/>
      <c r="IL29" s="238"/>
      <c r="IM29" s="238"/>
      <c r="IN29" s="238"/>
      <c r="IO29" s="238"/>
      <c r="IP29" s="238"/>
      <c r="IQ29" s="238"/>
      <c r="IR29" s="238"/>
      <c r="IS29" s="238"/>
      <c r="IT29" s="238"/>
      <c r="IU29" s="238"/>
    </row>
    <row r="30" spans="1:255" s="244" customFormat="1" ht="14.25">
      <c r="A30" s="299" t="s">
        <v>484</v>
      </c>
      <c r="B30" s="293"/>
      <c r="C30" s="293"/>
      <c r="D30" s="294"/>
      <c r="E30" s="294"/>
      <c r="F30" s="240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2"/>
      <c r="X30" s="242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3"/>
      <c r="AP30" s="243"/>
      <c r="AQ30" s="243"/>
      <c r="AR30" s="243"/>
      <c r="AS30" s="243"/>
      <c r="AT30" s="243"/>
      <c r="AU30" s="243"/>
      <c r="AV30" s="243"/>
      <c r="AW30" s="243"/>
      <c r="AX30" s="243"/>
      <c r="AY30" s="243"/>
      <c r="AZ30" s="243"/>
      <c r="BA30" s="243"/>
      <c r="BB30" s="243"/>
      <c r="BC30" s="243"/>
      <c r="BD30" s="243"/>
      <c r="BE30" s="243"/>
      <c r="BF30" s="243"/>
      <c r="BG30" s="243"/>
      <c r="BH30" s="243"/>
      <c r="BI30" s="243"/>
      <c r="BJ30" s="243"/>
      <c r="BK30" s="243"/>
      <c r="BL30" s="243"/>
      <c r="BM30" s="243"/>
      <c r="BN30" s="243"/>
      <c r="BO30" s="243"/>
      <c r="BP30" s="243"/>
      <c r="BQ30" s="243"/>
      <c r="BR30" s="243"/>
      <c r="BS30" s="243"/>
      <c r="BT30" s="243"/>
      <c r="BU30" s="243"/>
      <c r="BV30" s="243"/>
      <c r="BW30" s="243"/>
      <c r="BX30" s="243"/>
      <c r="BY30" s="243"/>
      <c r="BZ30" s="243"/>
      <c r="CA30" s="243"/>
      <c r="CB30" s="243"/>
      <c r="CC30" s="243"/>
      <c r="CD30" s="243"/>
      <c r="CE30" s="243"/>
      <c r="CF30" s="243"/>
      <c r="CG30" s="243"/>
      <c r="CH30" s="243"/>
      <c r="CI30" s="243"/>
      <c r="CJ30" s="243"/>
      <c r="CK30" s="243"/>
      <c r="CL30" s="243"/>
      <c r="CM30" s="243"/>
      <c r="CN30" s="243"/>
      <c r="CO30" s="243"/>
      <c r="CP30" s="243"/>
      <c r="CQ30" s="243"/>
      <c r="CR30" s="243"/>
      <c r="CS30" s="243"/>
      <c r="CT30" s="243"/>
      <c r="CU30" s="243"/>
      <c r="CV30" s="243"/>
      <c r="CW30" s="243"/>
      <c r="CX30" s="243"/>
      <c r="CY30" s="243"/>
      <c r="CZ30" s="243"/>
      <c r="DA30" s="243"/>
      <c r="DB30" s="243"/>
      <c r="DC30" s="243"/>
      <c r="DD30" s="243"/>
      <c r="DE30" s="243"/>
      <c r="DF30" s="243"/>
      <c r="DG30" s="243"/>
      <c r="DH30" s="243"/>
      <c r="DI30" s="243"/>
      <c r="DJ30" s="243"/>
      <c r="DK30" s="243"/>
      <c r="DL30" s="243"/>
      <c r="DM30" s="243"/>
      <c r="DN30" s="243"/>
      <c r="DO30" s="243"/>
      <c r="DP30" s="243"/>
      <c r="DQ30" s="243"/>
      <c r="DR30" s="243"/>
      <c r="DS30" s="243"/>
      <c r="DT30" s="243"/>
      <c r="DU30" s="243"/>
      <c r="DV30" s="243"/>
      <c r="DW30" s="243"/>
      <c r="DX30" s="243"/>
      <c r="DY30" s="243"/>
      <c r="DZ30" s="243"/>
      <c r="EA30" s="243"/>
      <c r="EB30" s="243"/>
      <c r="EC30" s="243"/>
      <c r="ED30" s="243"/>
      <c r="EE30" s="243"/>
      <c r="EF30" s="243"/>
      <c r="EG30" s="243"/>
      <c r="EH30" s="243"/>
      <c r="EI30" s="243"/>
      <c r="EJ30" s="243"/>
      <c r="EK30" s="243"/>
      <c r="EL30" s="243"/>
      <c r="EM30" s="243"/>
      <c r="EN30" s="243"/>
      <c r="EO30" s="243"/>
      <c r="EP30" s="243"/>
      <c r="EQ30" s="243"/>
      <c r="ER30" s="243"/>
      <c r="ES30" s="243"/>
      <c r="ET30" s="243"/>
      <c r="EU30" s="243"/>
      <c r="EV30" s="243"/>
      <c r="EW30" s="243"/>
      <c r="EX30" s="243"/>
      <c r="EY30" s="243"/>
      <c r="EZ30" s="243"/>
      <c r="FA30" s="243"/>
      <c r="FB30" s="243"/>
      <c r="FC30" s="243"/>
      <c r="FD30" s="243"/>
      <c r="FE30" s="243"/>
      <c r="FF30" s="243"/>
      <c r="FG30" s="243"/>
      <c r="FH30" s="243"/>
      <c r="FI30" s="243"/>
      <c r="FJ30" s="243"/>
      <c r="FK30" s="243"/>
      <c r="FL30" s="243"/>
      <c r="FM30" s="243"/>
      <c r="FN30" s="243"/>
      <c r="FO30" s="243"/>
      <c r="FP30" s="243"/>
      <c r="FQ30" s="243"/>
      <c r="FR30" s="243"/>
      <c r="FS30" s="243"/>
      <c r="FT30" s="243"/>
      <c r="FU30" s="243"/>
      <c r="FV30" s="243"/>
      <c r="FW30" s="243"/>
      <c r="FX30" s="243"/>
      <c r="FY30" s="243"/>
      <c r="FZ30" s="243"/>
      <c r="GA30" s="243"/>
      <c r="GB30" s="243"/>
      <c r="GC30" s="243"/>
      <c r="GD30" s="243"/>
      <c r="GE30" s="243"/>
      <c r="GF30" s="243"/>
      <c r="GG30" s="243"/>
      <c r="GH30" s="243"/>
      <c r="GI30" s="243"/>
      <c r="GJ30" s="243"/>
      <c r="GK30" s="243"/>
      <c r="GL30" s="243"/>
      <c r="GM30" s="243"/>
      <c r="GN30" s="243"/>
      <c r="GO30" s="243"/>
      <c r="GP30" s="243"/>
      <c r="GQ30" s="243"/>
      <c r="GR30" s="243"/>
      <c r="GS30" s="243"/>
      <c r="GT30" s="243"/>
      <c r="GU30" s="243"/>
      <c r="GV30" s="243"/>
      <c r="GW30" s="243"/>
      <c r="GX30" s="243"/>
      <c r="GY30" s="243"/>
      <c r="GZ30" s="243"/>
      <c r="HA30" s="243"/>
      <c r="HB30" s="243"/>
      <c r="HC30" s="243"/>
      <c r="HD30" s="243"/>
      <c r="HE30" s="243"/>
      <c r="HF30" s="243"/>
      <c r="HG30" s="243"/>
      <c r="HH30" s="243"/>
      <c r="HI30" s="243"/>
      <c r="HJ30" s="243"/>
      <c r="HK30" s="243"/>
      <c r="HL30" s="243"/>
      <c r="HM30" s="243"/>
      <c r="HN30" s="243"/>
      <c r="HO30" s="243"/>
      <c r="HP30" s="243"/>
      <c r="HQ30" s="243"/>
      <c r="HR30" s="243"/>
      <c r="HS30" s="243"/>
      <c r="HT30" s="243"/>
      <c r="HU30" s="243"/>
      <c r="HV30" s="243"/>
      <c r="HW30" s="243"/>
      <c r="HX30" s="243"/>
      <c r="HY30" s="243"/>
      <c r="HZ30" s="243"/>
      <c r="IA30" s="243"/>
      <c r="IB30" s="243"/>
      <c r="IC30" s="243"/>
      <c r="ID30" s="243"/>
      <c r="IE30" s="243"/>
      <c r="IF30" s="243"/>
      <c r="IG30" s="243"/>
      <c r="IH30" s="243"/>
      <c r="II30" s="243"/>
      <c r="IJ30" s="243"/>
      <c r="IK30" s="243"/>
      <c r="IL30" s="243"/>
      <c r="IM30" s="243"/>
      <c r="IN30" s="243"/>
      <c r="IO30" s="243"/>
      <c r="IP30" s="243"/>
      <c r="IQ30" s="243"/>
      <c r="IR30" s="243"/>
      <c r="IS30" s="243"/>
      <c r="IT30" s="243"/>
      <c r="IU30" s="243"/>
    </row>
    <row r="31" spans="1:255" s="239" customFormat="1" ht="15">
      <c r="A31" s="292" t="s">
        <v>478</v>
      </c>
      <c r="B31" s="293"/>
      <c r="C31" s="293"/>
      <c r="D31" s="294"/>
      <c r="E31" s="294"/>
      <c r="F31" s="235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7"/>
      <c r="X31" s="237"/>
      <c r="Y31" s="238"/>
      <c r="Z31" s="238"/>
      <c r="AA31" s="238"/>
      <c r="AB31" s="238"/>
      <c r="AC31" s="238"/>
      <c r="AD31" s="238"/>
      <c r="AE31" s="238"/>
      <c r="AF31" s="238"/>
      <c r="AG31" s="238"/>
      <c r="AH31" s="238"/>
      <c r="AI31" s="238"/>
      <c r="AJ31" s="238"/>
      <c r="AK31" s="238"/>
      <c r="AL31" s="238"/>
      <c r="AM31" s="238"/>
      <c r="AN31" s="238"/>
      <c r="AO31" s="238"/>
      <c r="AP31" s="238"/>
      <c r="AQ31" s="238"/>
      <c r="AR31" s="238"/>
      <c r="AS31" s="238"/>
      <c r="AT31" s="238"/>
      <c r="AU31" s="238"/>
      <c r="AV31" s="238"/>
      <c r="AW31" s="238"/>
      <c r="AX31" s="238"/>
      <c r="AY31" s="238"/>
      <c r="AZ31" s="238"/>
      <c r="BA31" s="238"/>
      <c r="BB31" s="238"/>
      <c r="BC31" s="238"/>
      <c r="BD31" s="238"/>
      <c r="BE31" s="238"/>
      <c r="BF31" s="238"/>
      <c r="BG31" s="238"/>
      <c r="BH31" s="238"/>
      <c r="BI31" s="238"/>
      <c r="BJ31" s="238"/>
      <c r="BK31" s="238"/>
      <c r="BL31" s="238"/>
      <c r="BM31" s="238"/>
      <c r="BN31" s="238"/>
      <c r="BO31" s="238"/>
      <c r="BP31" s="238"/>
      <c r="BQ31" s="238"/>
      <c r="BR31" s="238"/>
      <c r="BS31" s="238"/>
      <c r="BT31" s="238"/>
      <c r="BU31" s="238"/>
      <c r="BV31" s="238"/>
      <c r="BW31" s="238"/>
      <c r="BX31" s="238"/>
      <c r="BY31" s="238"/>
      <c r="BZ31" s="238"/>
      <c r="CA31" s="238"/>
      <c r="CB31" s="238"/>
      <c r="CC31" s="238"/>
      <c r="CD31" s="238"/>
      <c r="CE31" s="238"/>
      <c r="CF31" s="238"/>
      <c r="CG31" s="238"/>
      <c r="CH31" s="238"/>
      <c r="CI31" s="238"/>
      <c r="CJ31" s="238"/>
      <c r="CK31" s="238"/>
      <c r="CL31" s="238"/>
      <c r="CM31" s="238"/>
      <c r="CN31" s="238"/>
      <c r="CO31" s="238"/>
      <c r="CP31" s="238"/>
      <c r="CQ31" s="238"/>
      <c r="CR31" s="238"/>
      <c r="CS31" s="238"/>
      <c r="CT31" s="238"/>
      <c r="CU31" s="238"/>
      <c r="CV31" s="238"/>
      <c r="CW31" s="238"/>
      <c r="CX31" s="238"/>
      <c r="CY31" s="238"/>
      <c r="CZ31" s="238"/>
      <c r="DA31" s="238"/>
      <c r="DB31" s="238"/>
      <c r="DC31" s="238"/>
      <c r="DD31" s="238"/>
      <c r="DE31" s="238"/>
      <c r="DF31" s="238"/>
      <c r="DG31" s="238"/>
      <c r="DH31" s="238"/>
      <c r="DI31" s="238"/>
      <c r="DJ31" s="238"/>
      <c r="DK31" s="238"/>
      <c r="DL31" s="238"/>
      <c r="DM31" s="238"/>
      <c r="DN31" s="238"/>
      <c r="DO31" s="238"/>
      <c r="DP31" s="238"/>
      <c r="DQ31" s="238"/>
      <c r="DR31" s="238"/>
      <c r="DS31" s="238"/>
      <c r="DT31" s="238"/>
      <c r="DU31" s="238"/>
      <c r="DV31" s="238"/>
      <c r="DW31" s="238"/>
      <c r="DX31" s="238"/>
      <c r="DY31" s="238"/>
      <c r="DZ31" s="238"/>
      <c r="EA31" s="238"/>
      <c r="EB31" s="238"/>
      <c r="EC31" s="238"/>
      <c r="ED31" s="238"/>
      <c r="EE31" s="238"/>
      <c r="EF31" s="238"/>
      <c r="EG31" s="238"/>
      <c r="EH31" s="238"/>
      <c r="EI31" s="238"/>
      <c r="EJ31" s="238"/>
      <c r="EK31" s="238"/>
      <c r="EL31" s="238"/>
      <c r="EM31" s="238"/>
      <c r="EN31" s="238"/>
      <c r="EO31" s="238"/>
      <c r="EP31" s="238"/>
      <c r="EQ31" s="238"/>
      <c r="ER31" s="238"/>
      <c r="ES31" s="238"/>
      <c r="ET31" s="238"/>
      <c r="EU31" s="238"/>
      <c r="EV31" s="238"/>
      <c r="EW31" s="238"/>
      <c r="EX31" s="238"/>
      <c r="EY31" s="238"/>
      <c r="EZ31" s="238"/>
      <c r="FA31" s="238"/>
      <c r="FB31" s="238"/>
      <c r="FC31" s="238"/>
      <c r="FD31" s="238"/>
      <c r="FE31" s="238"/>
      <c r="FF31" s="238"/>
      <c r="FG31" s="238"/>
      <c r="FH31" s="238"/>
      <c r="FI31" s="238"/>
      <c r="FJ31" s="238"/>
      <c r="FK31" s="238"/>
      <c r="FL31" s="238"/>
      <c r="FM31" s="238"/>
      <c r="FN31" s="238"/>
      <c r="FO31" s="238"/>
      <c r="FP31" s="238"/>
      <c r="FQ31" s="238"/>
      <c r="FR31" s="238"/>
      <c r="FS31" s="238"/>
      <c r="FT31" s="238"/>
      <c r="FU31" s="238"/>
      <c r="FV31" s="238"/>
      <c r="FW31" s="238"/>
      <c r="FX31" s="238"/>
      <c r="FY31" s="238"/>
      <c r="FZ31" s="238"/>
      <c r="GA31" s="238"/>
      <c r="GB31" s="238"/>
      <c r="GC31" s="238"/>
      <c r="GD31" s="238"/>
      <c r="GE31" s="238"/>
      <c r="GF31" s="238"/>
      <c r="GG31" s="238"/>
      <c r="GH31" s="238"/>
      <c r="GI31" s="238"/>
      <c r="GJ31" s="238"/>
      <c r="GK31" s="238"/>
      <c r="GL31" s="238"/>
      <c r="GM31" s="238"/>
      <c r="GN31" s="238"/>
      <c r="GO31" s="238"/>
      <c r="GP31" s="238"/>
      <c r="GQ31" s="238"/>
      <c r="GR31" s="238"/>
      <c r="GS31" s="238"/>
      <c r="GT31" s="238"/>
      <c r="GU31" s="238"/>
      <c r="GV31" s="238"/>
      <c r="GW31" s="238"/>
      <c r="GX31" s="238"/>
      <c r="GY31" s="238"/>
      <c r="GZ31" s="238"/>
      <c r="HA31" s="238"/>
      <c r="HB31" s="238"/>
      <c r="HC31" s="238"/>
      <c r="HD31" s="238"/>
      <c r="HE31" s="238"/>
      <c r="HF31" s="238"/>
      <c r="HG31" s="238"/>
      <c r="HH31" s="238"/>
      <c r="HI31" s="238"/>
      <c r="HJ31" s="238"/>
      <c r="HK31" s="238"/>
      <c r="HL31" s="238"/>
      <c r="HM31" s="238"/>
      <c r="HN31" s="238"/>
      <c r="HO31" s="238"/>
      <c r="HP31" s="238"/>
      <c r="HQ31" s="238"/>
      <c r="HR31" s="238"/>
      <c r="HS31" s="238"/>
      <c r="HT31" s="238"/>
      <c r="HU31" s="238"/>
      <c r="HV31" s="238"/>
      <c r="HW31" s="238"/>
      <c r="HX31" s="238"/>
      <c r="HY31" s="238"/>
      <c r="HZ31" s="238"/>
      <c r="IA31" s="238"/>
      <c r="IB31" s="238"/>
      <c r="IC31" s="238"/>
      <c r="ID31" s="238"/>
      <c r="IE31" s="238"/>
      <c r="IF31" s="238"/>
      <c r="IG31" s="238"/>
      <c r="IH31" s="238"/>
      <c r="II31" s="238"/>
      <c r="IJ31" s="238"/>
      <c r="IK31" s="238"/>
      <c r="IL31" s="238"/>
      <c r="IM31" s="238"/>
      <c r="IN31" s="238"/>
      <c r="IO31" s="238"/>
      <c r="IP31" s="238"/>
      <c r="IQ31" s="238"/>
      <c r="IR31" s="238"/>
      <c r="IS31" s="238"/>
      <c r="IT31" s="238"/>
      <c r="IU31" s="238"/>
    </row>
    <row r="32" spans="1:255" s="239" customFormat="1" ht="15">
      <c r="A32" s="292" t="s">
        <v>746</v>
      </c>
      <c r="B32" s="293"/>
      <c r="C32" s="293"/>
      <c r="D32" s="294"/>
      <c r="E32" s="294"/>
      <c r="F32" s="235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7"/>
      <c r="X32" s="237"/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  <c r="AL32" s="238"/>
      <c r="AM32" s="238"/>
      <c r="AN32" s="238"/>
      <c r="AO32" s="238"/>
      <c r="AP32" s="238"/>
      <c r="AQ32" s="238"/>
      <c r="AR32" s="238"/>
      <c r="AS32" s="238"/>
      <c r="AT32" s="238"/>
      <c r="AU32" s="238"/>
      <c r="AV32" s="238"/>
      <c r="AW32" s="238"/>
      <c r="AX32" s="238"/>
      <c r="AY32" s="238"/>
      <c r="AZ32" s="238"/>
      <c r="BA32" s="238"/>
      <c r="BB32" s="238"/>
      <c r="BC32" s="238"/>
      <c r="BD32" s="238"/>
      <c r="BE32" s="238"/>
      <c r="BF32" s="238"/>
      <c r="BG32" s="238"/>
      <c r="BH32" s="238"/>
      <c r="BI32" s="238"/>
      <c r="BJ32" s="238"/>
      <c r="BK32" s="238"/>
      <c r="BL32" s="238"/>
      <c r="BM32" s="238"/>
      <c r="BN32" s="238"/>
      <c r="BO32" s="238"/>
      <c r="BP32" s="238"/>
      <c r="BQ32" s="238"/>
      <c r="BR32" s="238"/>
      <c r="BS32" s="238"/>
      <c r="BT32" s="238"/>
      <c r="BU32" s="238"/>
      <c r="BV32" s="238"/>
      <c r="BW32" s="238"/>
      <c r="BX32" s="238"/>
      <c r="BY32" s="238"/>
      <c r="BZ32" s="238"/>
      <c r="CA32" s="238"/>
      <c r="CB32" s="238"/>
      <c r="CC32" s="238"/>
      <c r="CD32" s="238"/>
      <c r="CE32" s="238"/>
      <c r="CF32" s="238"/>
      <c r="CG32" s="238"/>
      <c r="CH32" s="238"/>
      <c r="CI32" s="238"/>
      <c r="CJ32" s="238"/>
      <c r="CK32" s="238"/>
      <c r="CL32" s="238"/>
      <c r="CM32" s="238"/>
      <c r="CN32" s="238"/>
      <c r="CO32" s="238"/>
      <c r="CP32" s="238"/>
      <c r="CQ32" s="238"/>
      <c r="CR32" s="238"/>
      <c r="CS32" s="238"/>
      <c r="CT32" s="238"/>
      <c r="CU32" s="238"/>
      <c r="CV32" s="238"/>
      <c r="CW32" s="238"/>
      <c r="CX32" s="238"/>
      <c r="CY32" s="238"/>
      <c r="CZ32" s="238"/>
      <c r="DA32" s="238"/>
      <c r="DB32" s="238"/>
      <c r="DC32" s="238"/>
      <c r="DD32" s="238"/>
      <c r="DE32" s="238"/>
      <c r="DF32" s="238"/>
      <c r="DG32" s="238"/>
      <c r="DH32" s="238"/>
      <c r="DI32" s="238"/>
      <c r="DJ32" s="238"/>
      <c r="DK32" s="238"/>
      <c r="DL32" s="238"/>
      <c r="DM32" s="238"/>
      <c r="DN32" s="238"/>
      <c r="DO32" s="238"/>
      <c r="DP32" s="238"/>
      <c r="DQ32" s="238"/>
      <c r="DR32" s="238"/>
      <c r="DS32" s="238"/>
      <c r="DT32" s="238"/>
      <c r="DU32" s="238"/>
      <c r="DV32" s="238"/>
      <c r="DW32" s="238"/>
      <c r="DX32" s="238"/>
      <c r="DY32" s="238"/>
      <c r="DZ32" s="238"/>
      <c r="EA32" s="238"/>
      <c r="EB32" s="238"/>
      <c r="EC32" s="238"/>
      <c r="ED32" s="238"/>
      <c r="EE32" s="238"/>
      <c r="EF32" s="238"/>
      <c r="EG32" s="238"/>
      <c r="EH32" s="238"/>
      <c r="EI32" s="238"/>
      <c r="EJ32" s="238"/>
      <c r="EK32" s="238"/>
      <c r="EL32" s="238"/>
      <c r="EM32" s="238"/>
      <c r="EN32" s="238"/>
      <c r="EO32" s="238"/>
      <c r="EP32" s="238"/>
      <c r="EQ32" s="238"/>
      <c r="ER32" s="238"/>
      <c r="ES32" s="238"/>
      <c r="ET32" s="238"/>
      <c r="EU32" s="238"/>
      <c r="EV32" s="238"/>
      <c r="EW32" s="238"/>
      <c r="EX32" s="238"/>
      <c r="EY32" s="238"/>
      <c r="EZ32" s="238"/>
      <c r="FA32" s="238"/>
      <c r="FB32" s="238"/>
      <c r="FC32" s="238"/>
      <c r="FD32" s="238"/>
      <c r="FE32" s="238"/>
      <c r="FF32" s="238"/>
      <c r="FG32" s="238"/>
      <c r="FH32" s="238"/>
      <c r="FI32" s="238"/>
      <c r="FJ32" s="238"/>
      <c r="FK32" s="238"/>
      <c r="FL32" s="238"/>
      <c r="FM32" s="238"/>
      <c r="FN32" s="238"/>
      <c r="FO32" s="238"/>
      <c r="FP32" s="238"/>
      <c r="FQ32" s="238"/>
      <c r="FR32" s="238"/>
      <c r="FS32" s="238"/>
      <c r="FT32" s="238"/>
      <c r="FU32" s="238"/>
      <c r="FV32" s="238"/>
      <c r="FW32" s="238"/>
      <c r="FX32" s="238"/>
      <c r="FY32" s="238"/>
      <c r="FZ32" s="238"/>
      <c r="GA32" s="238"/>
      <c r="GB32" s="238"/>
      <c r="GC32" s="238"/>
      <c r="GD32" s="238"/>
      <c r="GE32" s="238"/>
      <c r="GF32" s="238"/>
      <c r="GG32" s="238"/>
      <c r="GH32" s="238"/>
      <c r="GI32" s="238"/>
      <c r="GJ32" s="238"/>
      <c r="GK32" s="238"/>
      <c r="GL32" s="238"/>
      <c r="GM32" s="238"/>
      <c r="GN32" s="238"/>
      <c r="GO32" s="238"/>
      <c r="GP32" s="238"/>
      <c r="GQ32" s="238"/>
      <c r="GR32" s="238"/>
      <c r="GS32" s="238"/>
      <c r="GT32" s="238"/>
      <c r="GU32" s="238"/>
      <c r="GV32" s="238"/>
      <c r="GW32" s="238"/>
      <c r="GX32" s="238"/>
      <c r="GY32" s="238"/>
      <c r="GZ32" s="238"/>
      <c r="HA32" s="238"/>
      <c r="HB32" s="238"/>
      <c r="HC32" s="238"/>
      <c r="HD32" s="238"/>
      <c r="HE32" s="238"/>
      <c r="HF32" s="238"/>
      <c r="HG32" s="238"/>
      <c r="HH32" s="238"/>
      <c r="HI32" s="238"/>
      <c r="HJ32" s="238"/>
      <c r="HK32" s="238"/>
      <c r="HL32" s="238"/>
      <c r="HM32" s="238"/>
      <c r="HN32" s="238"/>
      <c r="HO32" s="238"/>
      <c r="HP32" s="238"/>
      <c r="HQ32" s="238"/>
      <c r="HR32" s="238"/>
      <c r="HS32" s="238"/>
      <c r="HT32" s="238"/>
      <c r="HU32" s="238"/>
      <c r="HV32" s="238"/>
      <c r="HW32" s="238"/>
      <c r="HX32" s="238"/>
      <c r="HY32" s="238"/>
      <c r="HZ32" s="238"/>
      <c r="IA32" s="238"/>
      <c r="IB32" s="238"/>
      <c r="IC32" s="238"/>
      <c r="ID32" s="238"/>
      <c r="IE32" s="238"/>
      <c r="IF32" s="238"/>
      <c r="IG32" s="238"/>
      <c r="IH32" s="238"/>
      <c r="II32" s="238"/>
      <c r="IJ32" s="238"/>
      <c r="IK32" s="238"/>
      <c r="IL32" s="238"/>
      <c r="IM32" s="238"/>
      <c r="IN32" s="238"/>
      <c r="IO32" s="238"/>
      <c r="IP32" s="238"/>
      <c r="IQ32" s="238"/>
      <c r="IR32" s="238"/>
      <c r="IS32" s="238"/>
      <c r="IT32" s="238"/>
      <c r="IU32" s="238"/>
    </row>
    <row r="33" spans="1:255" s="239" customFormat="1" ht="15">
      <c r="A33" s="292" t="s">
        <v>747</v>
      </c>
      <c r="B33" s="293"/>
      <c r="C33" s="293"/>
      <c r="D33" s="294"/>
      <c r="E33" s="294"/>
      <c r="F33" s="235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7"/>
      <c r="X33" s="237"/>
      <c r="Y33" s="238"/>
      <c r="Z33" s="238"/>
      <c r="AA33" s="238"/>
      <c r="AB33" s="238"/>
      <c r="AC33" s="238"/>
      <c r="AD33" s="238"/>
      <c r="AE33" s="238"/>
      <c r="AF33" s="238"/>
      <c r="AG33" s="238"/>
      <c r="AH33" s="238"/>
      <c r="AI33" s="238"/>
      <c r="AJ33" s="238"/>
      <c r="AK33" s="238"/>
      <c r="AL33" s="238"/>
      <c r="AM33" s="238"/>
      <c r="AN33" s="238"/>
      <c r="AO33" s="238"/>
      <c r="AP33" s="238"/>
      <c r="AQ33" s="238"/>
      <c r="AR33" s="238"/>
      <c r="AS33" s="238"/>
      <c r="AT33" s="238"/>
      <c r="AU33" s="238"/>
      <c r="AV33" s="238"/>
      <c r="AW33" s="238"/>
      <c r="AX33" s="238"/>
      <c r="AY33" s="238"/>
      <c r="AZ33" s="238"/>
      <c r="BA33" s="238"/>
      <c r="BB33" s="238"/>
      <c r="BC33" s="238"/>
      <c r="BD33" s="238"/>
      <c r="BE33" s="238"/>
      <c r="BF33" s="238"/>
      <c r="BG33" s="238"/>
      <c r="BH33" s="238"/>
      <c r="BI33" s="238"/>
      <c r="BJ33" s="238"/>
      <c r="BK33" s="238"/>
      <c r="BL33" s="238"/>
      <c r="BM33" s="238"/>
      <c r="BN33" s="238"/>
      <c r="BO33" s="238"/>
      <c r="BP33" s="238"/>
      <c r="BQ33" s="238"/>
      <c r="BR33" s="238"/>
      <c r="BS33" s="238"/>
      <c r="BT33" s="238"/>
      <c r="BU33" s="238"/>
      <c r="BV33" s="238"/>
      <c r="BW33" s="238"/>
      <c r="BX33" s="238"/>
      <c r="BY33" s="238"/>
      <c r="BZ33" s="238"/>
      <c r="CA33" s="238"/>
      <c r="CB33" s="238"/>
      <c r="CC33" s="238"/>
      <c r="CD33" s="238"/>
      <c r="CE33" s="238"/>
      <c r="CF33" s="238"/>
      <c r="CG33" s="238"/>
      <c r="CH33" s="238"/>
      <c r="CI33" s="238"/>
      <c r="CJ33" s="238"/>
      <c r="CK33" s="238"/>
      <c r="CL33" s="238"/>
      <c r="CM33" s="238"/>
      <c r="CN33" s="238"/>
      <c r="CO33" s="238"/>
      <c r="CP33" s="238"/>
      <c r="CQ33" s="238"/>
      <c r="CR33" s="238"/>
      <c r="CS33" s="238"/>
      <c r="CT33" s="238"/>
      <c r="CU33" s="238"/>
      <c r="CV33" s="238"/>
      <c r="CW33" s="238"/>
      <c r="CX33" s="238"/>
      <c r="CY33" s="238"/>
      <c r="CZ33" s="238"/>
      <c r="DA33" s="238"/>
      <c r="DB33" s="238"/>
      <c r="DC33" s="238"/>
      <c r="DD33" s="238"/>
      <c r="DE33" s="238"/>
      <c r="DF33" s="238"/>
      <c r="DG33" s="238"/>
      <c r="DH33" s="238"/>
      <c r="DI33" s="238"/>
      <c r="DJ33" s="238"/>
      <c r="DK33" s="238"/>
      <c r="DL33" s="238"/>
      <c r="DM33" s="238"/>
      <c r="DN33" s="238"/>
      <c r="DO33" s="238"/>
      <c r="DP33" s="238"/>
      <c r="DQ33" s="238"/>
      <c r="DR33" s="238"/>
      <c r="DS33" s="238"/>
      <c r="DT33" s="238"/>
      <c r="DU33" s="238"/>
      <c r="DV33" s="238"/>
      <c r="DW33" s="238"/>
      <c r="DX33" s="238"/>
      <c r="DY33" s="238"/>
      <c r="DZ33" s="238"/>
      <c r="EA33" s="238"/>
      <c r="EB33" s="238"/>
      <c r="EC33" s="238"/>
      <c r="ED33" s="238"/>
      <c r="EE33" s="238"/>
      <c r="EF33" s="238"/>
      <c r="EG33" s="238"/>
      <c r="EH33" s="238"/>
      <c r="EI33" s="238"/>
      <c r="EJ33" s="238"/>
      <c r="EK33" s="238"/>
      <c r="EL33" s="238"/>
      <c r="EM33" s="238"/>
      <c r="EN33" s="238"/>
      <c r="EO33" s="238"/>
      <c r="EP33" s="238"/>
      <c r="EQ33" s="238"/>
      <c r="ER33" s="238"/>
      <c r="ES33" s="238"/>
      <c r="ET33" s="238"/>
      <c r="EU33" s="238"/>
      <c r="EV33" s="238"/>
      <c r="EW33" s="238"/>
      <c r="EX33" s="238"/>
      <c r="EY33" s="238"/>
      <c r="EZ33" s="238"/>
      <c r="FA33" s="238"/>
      <c r="FB33" s="238"/>
      <c r="FC33" s="238"/>
      <c r="FD33" s="238"/>
      <c r="FE33" s="238"/>
      <c r="FF33" s="238"/>
      <c r="FG33" s="238"/>
      <c r="FH33" s="238"/>
      <c r="FI33" s="238"/>
      <c r="FJ33" s="238"/>
      <c r="FK33" s="238"/>
      <c r="FL33" s="238"/>
      <c r="FM33" s="238"/>
      <c r="FN33" s="238"/>
      <c r="FO33" s="238"/>
      <c r="FP33" s="238"/>
      <c r="FQ33" s="238"/>
      <c r="FR33" s="238"/>
      <c r="FS33" s="238"/>
      <c r="FT33" s="238"/>
      <c r="FU33" s="238"/>
      <c r="FV33" s="238"/>
      <c r="FW33" s="238"/>
      <c r="FX33" s="238"/>
      <c r="FY33" s="238"/>
      <c r="FZ33" s="238"/>
      <c r="GA33" s="238"/>
      <c r="GB33" s="238"/>
      <c r="GC33" s="238"/>
      <c r="GD33" s="238"/>
      <c r="GE33" s="238"/>
      <c r="GF33" s="238"/>
      <c r="GG33" s="238"/>
      <c r="GH33" s="238"/>
      <c r="GI33" s="238"/>
      <c r="GJ33" s="238"/>
      <c r="GK33" s="238"/>
      <c r="GL33" s="238"/>
      <c r="GM33" s="238"/>
      <c r="GN33" s="238"/>
      <c r="GO33" s="238"/>
      <c r="GP33" s="238"/>
      <c r="GQ33" s="238"/>
      <c r="GR33" s="238"/>
      <c r="GS33" s="238"/>
      <c r="GT33" s="238"/>
      <c r="GU33" s="238"/>
      <c r="GV33" s="238"/>
      <c r="GW33" s="238"/>
      <c r="GX33" s="238"/>
      <c r="GY33" s="238"/>
      <c r="GZ33" s="238"/>
      <c r="HA33" s="238"/>
      <c r="HB33" s="238"/>
      <c r="HC33" s="238"/>
      <c r="HD33" s="238"/>
      <c r="HE33" s="238"/>
      <c r="HF33" s="238"/>
      <c r="HG33" s="238"/>
      <c r="HH33" s="238"/>
      <c r="HI33" s="238"/>
      <c r="HJ33" s="238"/>
      <c r="HK33" s="238"/>
      <c r="HL33" s="238"/>
      <c r="HM33" s="238"/>
      <c r="HN33" s="238"/>
      <c r="HO33" s="238"/>
      <c r="HP33" s="238"/>
      <c r="HQ33" s="238"/>
      <c r="HR33" s="238"/>
      <c r="HS33" s="238"/>
      <c r="HT33" s="238"/>
      <c r="HU33" s="238"/>
      <c r="HV33" s="238"/>
      <c r="HW33" s="238"/>
      <c r="HX33" s="238"/>
      <c r="HY33" s="238"/>
      <c r="HZ33" s="238"/>
      <c r="IA33" s="238"/>
      <c r="IB33" s="238"/>
      <c r="IC33" s="238"/>
      <c r="ID33" s="238"/>
      <c r="IE33" s="238"/>
      <c r="IF33" s="238"/>
      <c r="IG33" s="238"/>
      <c r="IH33" s="238"/>
      <c r="II33" s="238"/>
      <c r="IJ33" s="238"/>
      <c r="IK33" s="238"/>
      <c r="IL33" s="238"/>
      <c r="IM33" s="238"/>
      <c r="IN33" s="238"/>
      <c r="IO33" s="238"/>
      <c r="IP33" s="238"/>
      <c r="IQ33" s="238"/>
      <c r="IR33" s="238"/>
      <c r="IS33" s="238"/>
      <c r="IT33" s="238"/>
      <c r="IU33" s="238"/>
    </row>
    <row r="34" spans="1:255" s="244" customFormat="1" ht="14.25">
      <c r="A34" s="291" t="s">
        <v>485</v>
      </c>
      <c r="B34" s="293"/>
      <c r="C34" s="293"/>
      <c r="D34" s="294"/>
      <c r="E34" s="294"/>
      <c r="F34" s="240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2"/>
      <c r="X34" s="242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3"/>
      <c r="AP34" s="243"/>
      <c r="AQ34" s="243"/>
      <c r="AR34" s="243"/>
      <c r="AS34" s="243"/>
      <c r="AT34" s="243"/>
      <c r="AU34" s="243"/>
      <c r="AV34" s="243"/>
      <c r="AW34" s="243"/>
      <c r="AX34" s="243"/>
      <c r="AY34" s="243"/>
      <c r="AZ34" s="243"/>
      <c r="BA34" s="243"/>
      <c r="BB34" s="243"/>
      <c r="BC34" s="243"/>
      <c r="BD34" s="243"/>
      <c r="BE34" s="243"/>
      <c r="BF34" s="243"/>
      <c r="BG34" s="243"/>
      <c r="BH34" s="243"/>
      <c r="BI34" s="243"/>
      <c r="BJ34" s="243"/>
      <c r="BK34" s="243"/>
      <c r="BL34" s="243"/>
      <c r="BM34" s="243"/>
      <c r="BN34" s="243"/>
      <c r="BO34" s="243"/>
      <c r="BP34" s="243"/>
      <c r="BQ34" s="243"/>
      <c r="BR34" s="243"/>
      <c r="BS34" s="243"/>
      <c r="BT34" s="243"/>
      <c r="BU34" s="243"/>
      <c r="BV34" s="243"/>
      <c r="BW34" s="243"/>
      <c r="BX34" s="243"/>
      <c r="BY34" s="243"/>
      <c r="BZ34" s="243"/>
      <c r="CA34" s="243"/>
      <c r="CB34" s="243"/>
      <c r="CC34" s="243"/>
      <c r="CD34" s="243"/>
      <c r="CE34" s="243"/>
      <c r="CF34" s="243"/>
      <c r="CG34" s="243"/>
      <c r="CH34" s="243"/>
      <c r="CI34" s="243"/>
      <c r="CJ34" s="243"/>
      <c r="CK34" s="243"/>
      <c r="CL34" s="243"/>
      <c r="CM34" s="243"/>
      <c r="CN34" s="243"/>
      <c r="CO34" s="243"/>
      <c r="CP34" s="243"/>
      <c r="CQ34" s="243"/>
      <c r="CR34" s="243"/>
      <c r="CS34" s="243"/>
      <c r="CT34" s="243"/>
      <c r="CU34" s="243"/>
      <c r="CV34" s="243"/>
      <c r="CW34" s="243"/>
      <c r="CX34" s="243"/>
      <c r="CY34" s="243"/>
      <c r="CZ34" s="243"/>
      <c r="DA34" s="243"/>
      <c r="DB34" s="243"/>
      <c r="DC34" s="243"/>
      <c r="DD34" s="243"/>
      <c r="DE34" s="243"/>
      <c r="DF34" s="243"/>
      <c r="DG34" s="243"/>
      <c r="DH34" s="243"/>
      <c r="DI34" s="243"/>
      <c r="DJ34" s="243"/>
      <c r="DK34" s="243"/>
      <c r="DL34" s="243"/>
      <c r="DM34" s="243"/>
      <c r="DN34" s="243"/>
      <c r="DO34" s="243"/>
      <c r="DP34" s="243"/>
      <c r="DQ34" s="243"/>
      <c r="DR34" s="243"/>
      <c r="DS34" s="243"/>
      <c r="DT34" s="243"/>
      <c r="DU34" s="243"/>
      <c r="DV34" s="243"/>
      <c r="DW34" s="243"/>
      <c r="DX34" s="243"/>
      <c r="DY34" s="243"/>
      <c r="DZ34" s="243"/>
      <c r="EA34" s="243"/>
      <c r="EB34" s="243"/>
      <c r="EC34" s="243"/>
      <c r="ED34" s="243"/>
      <c r="EE34" s="243"/>
      <c r="EF34" s="243"/>
      <c r="EG34" s="243"/>
      <c r="EH34" s="243"/>
      <c r="EI34" s="243"/>
      <c r="EJ34" s="243"/>
      <c r="EK34" s="243"/>
      <c r="EL34" s="243"/>
      <c r="EM34" s="243"/>
      <c r="EN34" s="243"/>
      <c r="EO34" s="243"/>
      <c r="EP34" s="243"/>
      <c r="EQ34" s="243"/>
      <c r="ER34" s="243"/>
      <c r="ES34" s="243"/>
      <c r="ET34" s="243"/>
      <c r="EU34" s="243"/>
      <c r="EV34" s="243"/>
      <c r="EW34" s="243"/>
      <c r="EX34" s="243"/>
      <c r="EY34" s="243"/>
      <c r="EZ34" s="243"/>
      <c r="FA34" s="243"/>
      <c r="FB34" s="243"/>
      <c r="FC34" s="243"/>
      <c r="FD34" s="243"/>
      <c r="FE34" s="243"/>
      <c r="FF34" s="243"/>
      <c r="FG34" s="243"/>
      <c r="FH34" s="243"/>
      <c r="FI34" s="243"/>
      <c r="FJ34" s="243"/>
      <c r="FK34" s="243"/>
      <c r="FL34" s="243"/>
      <c r="FM34" s="243"/>
      <c r="FN34" s="243"/>
      <c r="FO34" s="243"/>
      <c r="FP34" s="243"/>
      <c r="FQ34" s="243"/>
      <c r="FR34" s="243"/>
      <c r="FS34" s="243"/>
      <c r="FT34" s="243"/>
      <c r="FU34" s="243"/>
      <c r="FV34" s="243"/>
      <c r="FW34" s="243"/>
      <c r="FX34" s="243"/>
      <c r="FY34" s="243"/>
      <c r="FZ34" s="243"/>
      <c r="GA34" s="243"/>
      <c r="GB34" s="243"/>
      <c r="GC34" s="243"/>
      <c r="GD34" s="243"/>
      <c r="GE34" s="243"/>
      <c r="GF34" s="243"/>
      <c r="GG34" s="243"/>
      <c r="GH34" s="243"/>
      <c r="GI34" s="243"/>
      <c r="GJ34" s="243"/>
      <c r="GK34" s="243"/>
      <c r="GL34" s="243"/>
      <c r="GM34" s="243"/>
      <c r="GN34" s="243"/>
      <c r="GO34" s="243"/>
      <c r="GP34" s="243"/>
      <c r="GQ34" s="243"/>
      <c r="GR34" s="243"/>
      <c r="GS34" s="243"/>
      <c r="GT34" s="243"/>
      <c r="GU34" s="243"/>
      <c r="GV34" s="243"/>
      <c r="GW34" s="243"/>
      <c r="GX34" s="243"/>
      <c r="GY34" s="243"/>
      <c r="GZ34" s="243"/>
      <c r="HA34" s="243"/>
      <c r="HB34" s="243"/>
      <c r="HC34" s="243"/>
      <c r="HD34" s="243"/>
      <c r="HE34" s="243"/>
      <c r="HF34" s="243"/>
      <c r="HG34" s="243"/>
      <c r="HH34" s="243"/>
      <c r="HI34" s="243"/>
      <c r="HJ34" s="243"/>
      <c r="HK34" s="243"/>
      <c r="HL34" s="243"/>
      <c r="HM34" s="243"/>
      <c r="HN34" s="243"/>
      <c r="HO34" s="243"/>
      <c r="HP34" s="243"/>
      <c r="HQ34" s="243"/>
      <c r="HR34" s="243"/>
      <c r="HS34" s="243"/>
      <c r="HT34" s="243"/>
      <c r="HU34" s="243"/>
      <c r="HV34" s="243"/>
      <c r="HW34" s="243"/>
      <c r="HX34" s="243"/>
      <c r="HY34" s="243"/>
      <c r="HZ34" s="243"/>
      <c r="IA34" s="243"/>
      <c r="IB34" s="243"/>
      <c r="IC34" s="243"/>
      <c r="ID34" s="243"/>
      <c r="IE34" s="243"/>
      <c r="IF34" s="243"/>
      <c r="IG34" s="243"/>
      <c r="IH34" s="243"/>
      <c r="II34" s="243"/>
      <c r="IJ34" s="243"/>
      <c r="IK34" s="243"/>
      <c r="IL34" s="243"/>
      <c r="IM34" s="243"/>
      <c r="IN34" s="243"/>
      <c r="IO34" s="243"/>
      <c r="IP34" s="243"/>
      <c r="IQ34" s="243"/>
      <c r="IR34" s="243"/>
      <c r="IS34" s="243"/>
      <c r="IT34" s="243"/>
      <c r="IU34" s="243"/>
    </row>
    <row r="35" spans="1:255" s="244" customFormat="1" ht="14.25">
      <c r="A35" s="292" t="s">
        <v>748</v>
      </c>
      <c r="B35" s="293"/>
      <c r="C35" s="293"/>
      <c r="D35" s="294"/>
      <c r="E35" s="294"/>
      <c r="F35" s="240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2"/>
      <c r="X35" s="242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3"/>
      <c r="AP35" s="243"/>
      <c r="AQ35" s="243"/>
      <c r="AR35" s="243"/>
      <c r="AS35" s="243"/>
      <c r="AT35" s="243"/>
      <c r="AU35" s="243"/>
      <c r="AV35" s="243"/>
      <c r="AW35" s="243"/>
      <c r="AX35" s="243"/>
      <c r="AY35" s="243"/>
      <c r="AZ35" s="243"/>
      <c r="BA35" s="243"/>
      <c r="BB35" s="243"/>
      <c r="BC35" s="243"/>
      <c r="BD35" s="243"/>
      <c r="BE35" s="243"/>
      <c r="BF35" s="243"/>
      <c r="BG35" s="243"/>
      <c r="BH35" s="243"/>
      <c r="BI35" s="243"/>
      <c r="BJ35" s="243"/>
      <c r="BK35" s="243"/>
      <c r="BL35" s="243"/>
      <c r="BM35" s="243"/>
      <c r="BN35" s="243"/>
      <c r="BO35" s="243"/>
      <c r="BP35" s="243"/>
      <c r="BQ35" s="243"/>
      <c r="BR35" s="243"/>
      <c r="BS35" s="243"/>
      <c r="BT35" s="243"/>
      <c r="BU35" s="243"/>
      <c r="BV35" s="243"/>
      <c r="BW35" s="243"/>
      <c r="BX35" s="243"/>
      <c r="BY35" s="243"/>
      <c r="BZ35" s="243"/>
      <c r="CA35" s="243"/>
      <c r="CB35" s="243"/>
      <c r="CC35" s="243"/>
      <c r="CD35" s="243"/>
      <c r="CE35" s="243"/>
      <c r="CF35" s="243"/>
      <c r="CG35" s="243"/>
      <c r="CH35" s="243"/>
      <c r="CI35" s="243"/>
      <c r="CJ35" s="243"/>
      <c r="CK35" s="243"/>
      <c r="CL35" s="243"/>
      <c r="CM35" s="243"/>
      <c r="CN35" s="243"/>
      <c r="CO35" s="243"/>
      <c r="CP35" s="243"/>
      <c r="CQ35" s="243"/>
      <c r="CR35" s="243"/>
      <c r="CS35" s="243"/>
      <c r="CT35" s="243"/>
      <c r="CU35" s="243"/>
      <c r="CV35" s="243"/>
      <c r="CW35" s="243"/>
      <c r="CX35" s="243"/>
      <c r="CY35" s="243"/>
      <c r="CZ35" s="243"/>
      <c r="DA35" s="243"/>
      <c r="DB35" s="243"/>
      <c r="DC35" s="243"/>
      <c r="DD35" s="243"/>
      <c r="DE35" s="243"/>
      <c r="DF35" s="243"/>
      <c r="DG35" s="243"/>
      <c r="DH35" s="243"/>
      <c r="DI35" s="243"/>
      <c r="DJ35" s="243"/>
      <c r="DK35" s="243"/>
      <c r="DL35" s="243"/>
      <c r="DM35" s="243"/>
      <c r="DN35" s="243"/>
      <c r="DO35" s="243"/>
      <c r="DP35" s="243"/>
      <c r="DQ35" s="243"/>
      <c r="DR35" s="243"/>
      <c r="DS35" s="243"/>
      <c r="DT35" s="243"/>
      <c r="DU35" s="243"/>
      <c r="DV35" s="243"/>
      <c r="DW35" s="243"/>
      <c r="DX35" s="243"/>
      <c r="DY35" s="243"/>
      <c r="DZ35" s="243"/>
      <c r="EA35" s="243"/>
      <c r="EB35" s="243"/>
      <c r="EC35" s="243"/>
      <c r="ED35" s="243"/>
      <c r="EE35" s="243"/>
      <c r="EF35" s="243"/>
      <c r="EG35" s="243"/>
      <c r="EH35" s="243"/>
      <c r="EI35" s="243"/>
      <c r="EJ35" s="243"/>
      <c r="EK35" s="243"/>
      <c r="EL35" s="243"/>
      <c r="EM35" s="243"/>
      <c r="EN35" s="243"/>
      <c r="EO35" s="243"/>
      <c r="EP35" s="243"/>
      <c r="EQ35" s="243"/>
      <c r="ER35" s="243"/>
      <c r="ES35" s="243"/>
      <c r="ET35" s="243"/>
      <c r="EU35" s="243"/>
      <c r="EV35" s="243"/>
      <c r="EW35" s="243"/>
      <c r="EX35" s="243"/>
      <c r="EY35" s="243"/>
      <c r="EZ35" s="243"/>
      <c r="FA35" s="243"/>
      <c r="FB35" s="243"/>
      <c r="FC35" s="243"/>
      <c r="FD35" s="243"/>
      <c r="FE35" s="243"/>
      <c r="FF35" s="243"/>
      <c r="FG35" s="243"/>
      <c r="FH35" s="243"/>
      <c r="FI35" s="243"/>
      <c r="FJ35" s="243"/>
      <c r="FK35" s="243"/>
      <c r="FL35" s="243"/>
      <c r="FM35" s="243"/>
      <c r="FN35" s="243"/>
      <c r="FO35" s="243"/>
      <c r="FP35" s="243"/>
      <c r="FQ35" s="243"/>
      <c r="FR35" s="243"/>
      <c r="FS35" s="243"/>
      <c r="FT35" s="243"/>
      <c r="FU35" s="243"/>
      <c r="FV35" s="243"/>
      <c r="FW35" s="243"/>
      <c r="FX35" s="243"/>
      <c r="FY35" s="243"/>
      <c r="FZ35" s="243"/>
      <c r="GA35" s="243"/>
      <c r="GB35" s="243"/>
      <c r="GC35" s="243"/>
      <c r="GD35" s="243"/>
      <c r="GE35" s="243"/>
      <c r="GF35" s="243"/>
      <c r="GG35" s="243"/>
      <c r="GH35" s="243"/>
      <c r="GI35" s="243"/>
      <c r="GJ35" s="243"/>
      <c r="GK35" s="243"/>
      <c r="GL35" s="243"/>
      <c r="GM35" s="243"/>
      <c r="GN35" s="243"/>
      <c r="GO35" s="243"/>
      <c r="GP35" s="243"/>
      <c r="GQ35" s="243"/>
      <c r="GR35" s="243"/>
      <c r="GS35" s="243"/>
      <c r="GT35" s="243"/>
      <c r="GU35" s="243"/>
      <c r="GV35" s="243"/>
      <c r="GW35" s="243"/>
      <c r="GX35" s="243"/>
      <c r="GY35" s="243"/>
      <c r="GZ35" s="243"/>
      <c r="HA35" s="243"/>
      <c r="HB35" s="243"/>
      <c r="HC35" s="243"/>
      <c r="HD35" s="243"/>
      <c r="HE35" s="243"/>
      <c r="HF35" s="243"/>
      <c r="HG35" s="243"/>
      <c r="HH35" s="243"/>
      <c r="HI35" s="243"/>
      <c r="HJ35" s="243"/>
      <c r="HK35" s="243"/>
      <c r="HL35" s="243"/>
      <c r="HM35" s="243"/>
      <c r="HN35" s="243"/>
      <c r="HO35" s="243"/>
      <c r="HP35" s="243"/>
      <c r="HQ35" s="243"/>
      <c r="HR35" s="243"/>
      <c r="HS35" s="243"/>
      <c r="HT35" s="243"/>
      <c r="HU35" s="243"/>
      <c r="HV35" s="243"/>
      <c r="HW35" s="243"/>
      <c r="HX35" s="243"/>
      <c r="HY35" s="243"/>
      <c r="HZ35" s="243"/>
      <c r="IA35" s="243"/>
      <c r="IB35" s="243"/>
      <c r="IC35" s="243"/>
      <c r="ID35" s="243"/>
      <c r="IE35" s="243"/>
      <c r="IF35" s="243"/>
      <c r="IG35" s="243"/>
      <c r="IH35" s="243"/>
      <c r="II35" s="243"/>
      <c r="IJ35" s="243"/>
      <c r="IK35" s="243"/>
      <c r="IL35" s="243"/>
      <c r="IM35" s="243"/>
      <c r="IN35" s="243"/>
      <c r="IO35" s="243"/>
      <c r="IP35" s="243"/>
      <c r="IQ35" s="243"/>
      <c r="IR35" s="243"/>
      <c r="IS35" s="243"/>
      <c r="IT35" s="243"/>
      <c r="IU35" s="243"/>
    </row>
    <row r="36" spans="1:255" s="239" customFormat="1" ht="15">
      <c r="A36" s="292" t="s">
        <v>479</v>
      </c>
      <c r="B36" s="293"/>
      <c r="C36" s="293"/>
      <c r="D36" s="294"/>
      <c r="E36" s="294"/>
      <c r="F36" s="235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7"/>
      <c r="X36" s="237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38"/>
      <c r="AM36" s="238"/>
      <c r="AN36" s="238"/>
      <c r="AO36" s="238"/>
      <c r="AP36" s="238"/>
      <c r="AQ36" s="238"/>
      <c r="AR36" s="238"/>
      <c r="AS36" s="238"/>
      <c r="AT36" s="238"/>
      <c r="AU36" s="238"/>
      <c r="AV36" s="238"/>
      <c r="AW36" s="238"/>
      <c r="AX36" s="238"/>
      <c r="AY36" s="238"/>
      <c r="AZ36" s="238"/>
      <c r="BA36" s="238"/>
      <c r="BB36" s="238"/>
      <c r="BC36" s="238"/>
      <c r="BD36" s="238"/>
      <c r="BE36" s="238"/>
      <c r="BF36" s="238"/>
      <c r="BG36" s="238"/>
      <c r="BH36" s="238"/>
      <c r="BI36" s="238"/>
      <c r="BJ36" s="238"/>
      <c r="BK36" s="238"/>
      <c r="BL36" s="238"/>
      <c r="BM36" s="238"/>
      <c r="BN36" s="238"/>
      <c r="BO36" s="238"/>
      <c r="BP36" s="238"/>
      <c r="BQ36" s="238"/>
      <c r="BR36" s="238"/>
      <c r="BS36" s="238"/>
      <c r="BT36" s="238"/>
      <c r="BU36" s="238"/>
      <c r="BV36" s="238"/>
      <c r="BW36" s="238"/>
      <c r="BX36" s="238"/>
      <c r="BY36" s="238"/>
      <c r="BZ36" s="238"/>
      <c r="CA36" s="238"/>
      <c r="CB36" s="238"/>
      <c r="CC36" s="238"/>
      <c r="CD36" s="238"/>
      <c r="CE36" s="238"/>
      <c r="CF36" s="238"/>
      <c r="CG36" s="238"/>
      <c r="CH36" s="238"/>
      <c r="CI36" s="238"/>
      <c r="CJ36" s="238"/>
      <c r="CK36" s="238"/>
      <c r="CL36" s="238"/>
      <c r="CM36" s="238"/>
      <c r="CN36" s="238"/>
      <c r="CO36" s="238"/>
      <c r="CP36" s="238"/>
      <c r="CQ36" s="238"/>
      <c r="CR36" s="238"/>
      <c r="CS36" s="238"/>
      <c r="CT36" s="238"/>
      <c r="CU36" s="238"/>
      <c r="CV36" s="238"/>
      <c r="CW36" s="238"/>
      <c r="CX36" s="238"/>
      <c r="CY36" s="238"/>
      <c r="CZ36" s="238"/>
      <c r="DA36" s="238"/>
      <c r="DB36" s="238"/>
      <c r="DC36" s="238"/>
      <c r="DD36" s="238"/>
      <c r="DE36" s="238"/>
      <c r="DF36" s="238"/>
      <c r="DG36" s="238"/>
      <c r="DH36" s="238"/>
      <c r="DI36" s="238"/>
      <c r="DJ36" s="238"/>
      <c r="DK36" s="238"/>
      <c r="DL36" s="238"/>
      <c r="DM36" s="238"/>
      <c r="DN36" s="238"/>
      <c r="DO36" s="238"/>
      <c r="DP36" s="238"/>
      <c r="DQ36" s="238"/>
      <c r="DR36" s="238"/>
      <c r="DS36" s="238"/>
      <c r="DT36" s="238"/>
      <c r="DU36" s="238"/>
      <c r="DV36" s="238"/>
      <c r="DW36" s="238"/>
      <c r="DX36" s="238"/>
      <c r="DY36" s="238"/>
      <c r="DZ36" s="238"/>
      <c r="EA36" s="238"/>
      <c r="EB36" s="238"/>
      <c r="EC36" s="238"/>
      <c r="ED36" s="238"/>
      <c r="EE36" s="238"/>
      <c r="EF36" s="238"/>
      <c r="EG36" s="238"/>
      <c r="EH36" s="238"/>
      <c r="EI36" s="238"/>
      <c r="EJ36" s="238"/>
      <c r="EK36" s="238"/>
      <c r="EL36" s="238"/>
      <c r="EM36" s="238"/>
      <c r="EN36" s="238"/>
      <c r="EO36" s="238"/>
      <c r="EP36" s="238"/>
      <c r="EQ36" s="238"/>
      <c r="ER36" s="238"/>
      <c r="ES36" s="238"/>
      <c r="ET36" s="238"/>
      <c r="EU36" s="238"/>
      <c r="EV36" s="238"/>
      <c r="EW36" s="238"/>
      <c r="EX36" s="238"/>
      <c r="EY36" s="238"/>
      <c r="EZ36" s="238"/>
      <c r="FA36" s="238"/>
      <c r="FB36" s="238"/>
      <c r="FC36" s="238"/>
      <c r="FD36" s="238"/>
      <c r="FE36" s="238"/>
      <c r="FF36" s="238"/>
      <c r="FG36" s="238"/>
      <c r="FH36" s="238"/>
      <c r="FI36" s="238"/>
      <c r="FJ36" s="238"/>
      <c r="FK36" s="238"/>
      <c r="FL36" s="238"/>
      <c r="FM36" s="238"/>
      <c r="FN36" s="238"/>
      <c r="FO36" s="238"/>
      <c r="FP36" s="238"/>
      <c r="FQ36" s="238"/>
      <c r="FR36" s="238"/>
      <c r="FS36" s="238"/>
      <c r="FT36" s="238"/>
      <c r="FU36" s="238"/>
      <c r="FV36" s="238"/>
      <c r="FW36" s="238"/>
      <c r="FX36" s="238"/>
      <c r="FY36" s="238"/>
      <c r="FZ36" s="238"/>
      <c r="GA36" s="238"/>
      <c r="GB36" s="238"/>
      <c r="GC36" s="238"/>
      <c r="GD36" s="238"/>
      <c r="GE36" s="238"/>
      <c r="GF36" s="238"/>
      <c r="GG36" s="238"/>
      <c r="GH36" s="238"/>
      <c r="GI36" s="238"/>
      <c r="GJ36" s="238"/>
      <c r="GK36" s="238"/>
      <c r="GL36" s="238"/>
      <c r="GM36" s="238"/>
      <c r="GN36" s="238"/>
      <c r="GO36" s="238"/>
      <c r="GP36" s="238"/>
      <c r="GQ36" s="238"/>
      <c r="GR36" s="238"/>
      <c r="GS36" s="238"/>
      <c r="GT36" s="238"/>
      <c r="GU36" s="238"/>
      <c r="GV36" s="238"/>
      <c r="GW36" s="238"/>
      <c r="GX36" s="238"/>
      <c r="GY36" s="238"/>
      <c r="GZ36" s="238"/>
      <c r="HA36" s="238"/>
      <c r="HB36" s="238"/>
      <c r="HC36" s="238"/>
      <c r="HD36" s="238"/>
      <c r="HE36" s="238"/>
      <c r="HF36" s="238"/>
      <c r="HG36" s="238"/>
      <c r="HH36" s="238"/>
      <c r="HI36" s="238"/>
      <c r="HJ36" s="238"/>
      <c r="HK36" s="238"/>
      <c r="HL36" s="238"/>
      <c r="HM36" s="238"/>
      <c r="HN36" s="238"/>
      <c r="HO36" s="238"/>
      <c r="HP36" s="238"/>
      <c r="HQ36" s="238"/>
      <c r="HR36" s="238"/>
      <c r="HS36" s="238"/>
      <c r="HT36" s="238"/>
      <c r="HU36" s="238"/>
      <c r="HV36" s="238"/>
      <c r="HW36" s="238"/>
      <c r="HX36" s="238"/>
      <c r="HY36" s="238"/>
      <c r="HZ36" s="238"/>
      <c r="IA36" s="238"/>
      <c r="IB36" s="238"/>
      <c r="IC36" s="238"/>
      <c r="ID36" s="238"/>
      <c r="IE36" s="238"/>
      <c r="IF36" s="238"/>
      <c r="IG36" s="238"/>
      <c r="IH36" s="238"/>
      <c r="II36" s="238"/>
      <c r="IJ36" s="238"/>
      <c r="IK36" s="238"/>
      <c r="IL36" s="238"/>
      <c r="IM36" s="238"/>
      <c r="IN36" s="238"/>
      <c r="IO36" s="238"/>
      <c r="IP36" s="238"/>
      <c r="IQ36" s="238"/>
      <c r="IR36" s="238"/>
      <c r="IS36" s="238"/>
      <c r="IT36" s="238"/>
      <c r="IU36" s="238"/>
    </row>
    <row r="37" spans="1:255" s="239" customFormat="1" ht="15">
      <c r="A37" s="292" t="s">
        <v>749</v>
      </c>
      <c r="B37" s="293"/>
      <c r="C37" s="293"/>
      <c r="D37" s="294"/>
      <c r="E37" s="294"/>
      <c r="F37" s="235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7"/>
      <c r="X37" s="237"/>
      <c r="Y37" s="238"/>
      <c r="Z37" s="238"/>
      <c r="AA37" s="238"/>
      <c r="AB37" s="238"/>
      <c r="AC37" s="238"/>
      <c r="AD37" s="238"/>
      <c r="AE37" s="238"/>
      <c r="AF37" s="238"/>
      <c r="AG37" s="238"/>
      <c r="AH37" s="238"/>
      <c r="AI37" s="238"/>
      <c r="AJ37" s="238"/>
      <c r="AK37" s="238"/>
      <c r="AL37" s="238"/>
      <c r="AM37" s="238"/>
      <c r="AN37" s="238"/>
      <c r="AO37" s="238"/>
      <c r="AP37" s="238"/>
      <c r="AQ37" s="238"/>
      <c r="AR37" s="238"/>
      <c r="AS37" s="238"/>
      <c r="AT37" s="238"/>
      <c r="AU37" s="238"/>
      <c r="AV37" s="238"/>
      <c r="AW37" s="238"/>
      <c r="AX37" s="238"/>
      <c r="AY37" s="238"/>
      <c r="AZ37" s="238"/>
      <c r="BA37" s="238"/>
      <c r="BB37" s="238"/>
      <c r="BC37" s="238"/>
      <c r="BD37" s="238"/>
      <c r="BE37" s="238"/>
      <c r="BF37" s="238"/>
      <c r="BG37" s="238"/>
      <c r="BH37" s="238"/>
      <c r="BI37" s="238"/>
      <c r="BJ37" s="238"/>
      <c r="BK37" s="238"/>
      <c r="BL37" s="238"/>
      <c r="BM37" s="238"/>
      <c r="BN37" s="238"/>
      <c r="BO37" s="238"/>
      <c r="BP37" s="238"/>
      <c r="BQ37" s="238"/>
      <c r="BR37" s="238"/>
      <c r="BS37" s="238"/>
      <c r="BT37" s="238"/>
      <c r="BU37" s="238"/>
      <c r="BV37" s="238"/>
      <c r="BW37" s="238"/>
      <c r="BX37" s="238"/>
      <c r="BY37" s="238"/>
      <c r="BZ37" s="238"/>
      <c r="CA37" s="238"/>
      <c r="CB37" s="238"/>
      <c r="CC37" s="238"/>
      <c r="CD37" s="238"/>
      <c r="CE37" s="238"/>
      <c r="CF37" s="238"/>
      <c r="CG37" s="238"/>
      <c r="CH37" s="238"/>
      <c r="CI37" s="238"/>
      <c r="CJ37" s="238"/>
      <c r="CK37" s="238"/>
      <c r="CL37" s="238"/>
      <c r="CM37" s="238"/>
      <c r="CN37" s="238"/>
      <c r="CO37" s="238"/>
      <c r="CP37" s="238"/>
      <c r="CQ37" s="238"/>
      <c r="CR37" s="238"/>
      <c r="CS37" s="238"/>
      <c r="CT37" s="238"/>
      <c r="CU37" s="238"/>
      <c r="CV37" s="238"/>
      <c r="CW37" s="238"/>
      <c r="CX37" s="238"/>
      <c r="CY37" s="238"/>
      <c r="CZ37" s="238"/>
      <c r="DA37" s="238"/>
      <c r="DB37" s="238"/>
      <c r="DC37" s="238"/>
      <c r="DD37" s="238"/>
      <c r="DE37" s="238"/>
      <c r="DF37" s="238"/>
      <c r="DG37" s="238"/>
      <c r="DH37" s="238"/>
      <c r="DI37" s="238"/>
      <c r="DJ37" s="238"/>
      <c r="DK37" s="238"/>
      <c r="DL37" s="238"/>
      <c r="DM37" s="238"/>
      <c r="DN37" s="238"/>
      <c r="DO37" s="238"/>
      <c r="DP37" s="238"/>
      <c r="DQ37" s="238"/>
      <c r="DR37" s="238"/>
      <c r="DS37" s="238"/>
      <c r="DT37" s="238"/>
      <c r="DU37" s="238"/>
      <c r="DV37" s="238"/>
      <c r="DW37" s="238"/>
      <c r="DX37" s="238"/>
      <c r="DY37" s="238"/>
      <c r="DZ37" s="238"/>
      <c r="EA37" s="238"/>
      <c r="EB37" s="238"/>
      <c r="EC37" s="238"/>
      <c r="ED37" s="238"/>
      <c r="EE37" s="238"/>
      <c r="EF37" s="238"/>
      <c r="EG37" s="238"/>
      <c r="EH37" s="238"/>
      <c r="EI37" s="238"/>
      <c r="EJ37" s="238"/>
      <c r="EK37" s="238"/>
      <c r="EL37" s="238"/>
      <c r="EM37" s="238"/>
      <c r="EN37" s="238"/>
      <c r="EO37" s="238"/>
      <c r="EP37" s="238"/>
      <c r="EQ37" s="238"/>
      <c r="ER37" s="238"/>
      <c r="ES37" s="238"/>
      <c r="ET37" s="238"/>
      <c r="EU37" s="238"/>
      <c r="EV37" s="238"/>
      <c r="EW37" s="238"/>
      <c r="EX37" s="238"/>
      <c r="EY37" s="238"/>
      <c r="EZ37" s="238"/>
      <c r="FA37" s="238"/>
      <c r="FB37" s="238"/>
      <c r="FC37" s="238"/>
      <c r="FD37" s="238"/>
      <c r="FE37" s="238"/>
      <c r="FF37" s="238"/>
      <c r="FG37" s="238"/>
      <c r="FH37" s="238"/>
      <c r="FI37" s="238"/>
      <c r="FJ37" s="238"/>
      <c r="FK37" s="238"/>
      <c r="FL37" s="238"/>
      <c r="FM37" s="238"/>
      <c r="FN37" s="238"/>
      <c r="FO37" s="238"/>
      <c r="FP37" s="238"/>
      <c r="FQ37" s="238"/>
      <c r="FR37" s="238"/>
      <c r="FS37" s="238"/>
      <c r="FT37" s="238"/>
      <c r="FU37" s="238"/>
      <c r="FV37" s="238"/>
      <c r="FW37" s="238"/>
      <c r="FX37" s="238"/>
      <c r="FY37" s="238"/>
      <c r="FZ37" s="238"/>
      <c r="GA37" s="238"/>
      <c r="GB37" s="238"/>
      <c r="GC37" s="238"/>
      <c r="GD37" s="238"/>
      <c r="GE37" s="238"/>
      <c r="GF37" s="238"/>
      <c r="GG37" s="238"/>
      <c r="GH37" s="238"/>
      <c r="GI37" s="238"/>
      <c r="GJ37" s="238"/>
      <c r="GK37" s="238"/>
      <c r="GL37" s="238"/>
      <c r="GM37" s="238"/>
      <c r="GN37" s="238"/>
      <c r="GO37" s="238"/>
      <c r="GP37" s="238"/>
      <c r="GQ37" s="238"/>
      <c r="GR37" s="238"/>
      <c r="GS37" s="238"/>
      <c r="GT37" s="238"/>
      <c r="GU37" s="238"/>
      <c r="GV37" s="238"/>
      <c r="GW37" s="238"/>
      <c r="GX37" s="238"/>
      <c r="GY37" s="238"/>
      <c r="GZ37" s="238"/>
      <c r="HA37" s="238"/>
      <c r="HB37" s="238"/>
      <c r="HC37" s="238"/>
      <c r="HD37" s="238"/>
      <c r="HE37" s="238"/>
      <c r="HF37" s="238"/>
      <c r="HG37" s="238"/>
      <c r="HH37" s="238"/>
      <c r="HI37" s="238"/>
      <c r="HJ37" s="238"/>
      <c r="HK37" s="238"/>
      <c r="HL37" s="238"/>
      <c r="HM37" s="238"/>
      <c r="HN37" s="238"/>
      <c r="HO37" s="238"/>
      <c r="HP37" s="238"/>
      <c r="HQ37" s="238"/>
      <c r="HR37" s="238"/>
      <c r="HS37" s="238"/>
      <c r="HT37" s="238"/>
      <c r="HU37" s="238"/>
      <c r="HV37" s="238"/>
      <c r="HW37" s="238"/>
      <c r="HX37" s="238"/>
      <c r="HY37" s="238"/>
      <c r="HZ37" s="238"/>
      <c r="IA37" s="238"/>
      <c r="IB37" s="238"/>
      <c r="IC37" s="238"/>
      <c r="ID37" s="238"/>
      <c r="IE37" s="238"/>
      <c r="IF37" s="238"/>
      <c r="IG37" s="238"/>
      <c r="IH37" s="238"/>
      <c r="II37" s="238"/>
      <c r="IJ37" s="238"/>
      <c r="IK37" s="238"/>
      <c r="IL37" s="238"/>
      <c r="IM37" s="238"/>
      <c r="IN37" s="238"/>
      <c r="IO37" s="238"/>
      <c r="IP37" s="238"/>
      <c r="IQ37" s="238"/>
      <c r="IR37" s="238"/>
      <c r="IS37" s="238"/>
      <c r="IT37" s="238"/>
      <c r="IU37" s="238"/>
    </row>
    <row r="38" spans="1:255" s="239" customFormat="1" ht="30.75" customHeight="1">
      <c r="A38" s="300" t="s">
        <v>420</v>
      </c>
      <c r="B38" s="293"/>
      <c r="C38" s="293"/>
      <c r="D38" s="294"/>
      <c r="E38" s="294"/>
      <c r="F38" s="235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7"/>
      <c r="X38" s="237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238"/>
      <c r="AL38" s="238"/>
      <c r="AM38" s="238"/>
      <c r="AN38" s="238"/>
      <c r="AO38" s="238"/>
      <c r="AP38" s="238"/>
      <c r="AQ38" s="238"/>
      <c r="AR38" s="238"/>
      <c r="AS38" s="238"/>
      <c r="AT38" s="238"/>
      <c r="AU38" s="238"/>
      <c r="AV38" s="238"/>
      <c r="AW38" s="238"/>
      <c r="AX38" s="238"/>
      <c r="AY38" s="238"/>
      <c r="AZ38" s="238"/>
      <c r="BA38" s="238"/>
      <c r="BB38" s="238"/>
      <c r="BC38" s="238"/>
      <c r="BD38" s="238"/>
      <c r="BE38" s="238"/>
      <c r="BF38" s="238"/>
      <c r="BG38" s="238"/>
      <c r="BH38" s="238"/>
      <c r="BI38" s="238"/>
      <c r="BJ38" s="238"/>
      <c r="BK38" s="238"/>
      <c r="BL38" s="238"/>
      <c r="BM38" s="238"/>
      <c r="BN38" s="238"/>
      <c r="BO38" s="238"/>
      <c r="BP38" s="238"/>
      <c r="BQ38" s="238"/>
      <c r="BR38" s="238"/>
      <c r="BS38" s="238"/>
      <c r="BT38" s="238"/>
      <c r="BU38" s="238"/>
      <c r="BV38" s="238"/>
      <c r="BW38" s="238"/>
      <c r="BX38" s="238"/>
      <c r="BY38" s="238"/>
      <c r="BZ38" s="238"/>
      <c r="CA38" s="238"/>
      <c r="CB38" s="238"/>
      <c r="CC38" s="238"/>
      <c r="CD38" s="238"/>
      <c r="CE38" s="238"/>
      <c r="CF38" s="238"/>
      <c r="CG38" s="238"/>
      <c r="CH38" s="238"/>
      <c r="CI38" s="238"/>
      <c r="CJ38" s="238"/>
      <c r="CK38" s="238"/>
      <c r="CL38" s="238"/>
      <c r="CM38" s="238"/>
      <c r="CN38" s="238"/>
      <c r="CO38" s="238"/>
      <c r="CP38" s="238"/>
      <c r="CQ38" s="238"/>
      <c r="CR38" s="238"/>
      <c r="CS38" s="238"/>
      <c r="CT38" s="238"/>
      <c r="CU38" s="238"/>
      <c r="CV38" s="238"/>
      <c r="CW38" s="238"/>
      <c r="CX38" s="238"/>
      <c r="CY38" s="238"/>
      <c r="CZ38" s="238"/>
      <c r="DA38" s="238"/>
      <c r="DB38" s="238"/>
      <c r="DC38" s="238"/>
      <c r="DD38" s="238"/>
      <c r="DE38" s="238"/>
      <c r="DF38" s="238"/>
      <c r="DG38" s="238"/>
      <c r="DH38" s="238"/>
      <c r="DI38" s="238"/>
      <c r="DJ38" s="238"/>
      <c r="DK38" s="238"/>
      <c r="DL38" s="238"/>
      <c r="DM38" s="238"/>
      <c r="DN38" s="238"/>
      <c r="DO38" s="238"/>
      <c r="DP38" s="238"/>
      <c r="DQ38" s="238"/>
      <c r="DR38" s="238"/>
      <c r="DS38" s="238"/>
      <c r="DT38" s="238"/>
      <c r="DU38" s="238"/>
      <c r="DV38" s="238"/>
      <c r="DW38" s="238"/>
      <c r="DX38" s="238"/>
      <c r="DY38" s="238"/>
      <c r="DZ38" s="238"/>
      <c r="EA38" s="238"/>
      <c r="EB38" s="238"/>
      <c r="EC38" s="238"/>
      <c r="ED38" s="238"/>
      <c r="EE38" s="238"/>
      <c r="EF38" s="238"/>
      <c r="EG38" s="238"/>
      <c r="EH38" s="238"/>
      <c r="EI38" s="238"/>
      <c r="EJ38" s="238"/>
      <c r="EK38" s="238"/>
      <c r="EL38" s="238"/>
      <c r="EM38" s="238"/>
      <c r="EN38" s="238"/>
      <c r="EO38" s="238"/>
      <c r="EP38" s="238"/>
      <c r="EQ38" s="238"/>
      <c r="ER38" s="238"/>
      <c r="ES38" s="238"/>
      <c r="ET38" s="238"/>
      <c r="EU38" s="238"/>
      <c r="EV38" s="238"/>
      <c r="EW38" s="238"/>
      <c r="EX38" s="238"/>
      <c r="EY38" s="238"/>
      <c r="EZ38" s="238"/>
      <c r="FA38" s="238"/>
      <c r="FB38" s="238"/>
      <c r="FC38" s="238"/>
      <c r="FD38" s="238"/>
      <c r="FE38" s="238"/>
      <c r="FF38" s="238"/>
      <c r="FG38" s="238"/>
      <c r="FH38" s="238"/>
      <c r="FI38" s="238"/>
      <c r="FJ38" s="238"/>
      <c r="FK38" s="238"/>
      <c r="FL38" s="238"/>
      <c r="FM38" s="238"/>
      <c r="FN38" s="238"/>
      <c r="FO38" s="238"/>
      <c r="FP38" s="238"/>
      <c r="FQ38" s="238"/>
      <c r="FR38" s="238"/>
      <c r="FS38" s="238"/>
      <c r="FT38" s="238"/>
      <c r="FU38" s="238"/>
      <c r="FV38" s="238"/>
      <c r="FW38" s="238"/>
      <c r="FX38" s="238"/>
      <c r="FY38" s="238"/>
      <c r="FZ38" s="238"/>
      <c r="GA38" s="238"/>
      <c r="GB38" s="238"/>
      <c r="GC38" s="238"/>
      <c r="GD38" s="238"/>
      <c r="GE38" s="238"/>
      <c r="GF38" s="238"/>
      <c r="GG38" s="238"/>
      <c r="GH38" s="238"/>
      <c r="GI38" s="238"/>
      <c r="GJ38" s="238"/>
      <c r="GK38" s="238"/>
      <c r="GL38" s="238"/>
      <c r="GM38" s="238"/>
      <c r="GN38" s="238"/>
      <c r="GO38" s="238"/>
      <c r="GP38" s="238"/>
      <c r="GQ38" s="238"/>
      <c r="GR38" s="238"/>
      <c r="GS38" s="238"/>
      <c r="GT38" s="238"/>
      <c r="GU38" s="238"/>
      <c r="GV38" s="238"/>
      <c r="GW38" s="238"/>
      <c r="GX38" s="238"/>
      <c r="GY38" s="238"/>
      <c r="GZ38" s="238"/>
      <c r="HA38" s="238"/>
      <c r="HB38" s="238"/>
      <c r="HC38" s="238"/>
      <c r="HD38" s="238"/>
      <c r="HE38" s="238"/>
      <c r="HF38" s="238"/>
      <c r="HG38" s="238"/>
      <c r="HH38" s="238"/>
      <c r="HI38" s="238"/>
      <c r="HJ38" s="238"/>
      <c r="HK38" s="238"/>
      <c r="HL38" s="238"/>
      <c r="HM38" s="238"/>
      <c r="HN38" s="238"/>
      <c r="HO38" s="238"/>
      <c r="HP38" s="238"/>
      <c r="HQ38" s="238"/>
      <c r="HR38" s="238"/>
      <c r="HS38" s="238"/>
      <c r="HT38" s="238"/>
      <c r="HU38" s="238"/>
      <c r="HV38" s="238"/>
      <c r="HW38" s="238"/>
      <c r="HX38" s="238"/>
      <c r="HY38" s="238"/>
      <c r="HZ38" s="238"/>
      <c r="IA38" s="238"/>
      <c r="IB38" s="238"/>
      <c r="IC38" s="238"/>
      <c r="ID38" s="238"/>
      <c r="IE38" s="238"/>
      <c r="IF38" s="238"/>
      <c r="IG38" s="238"/>
      <c r="IH38" s="238"/>
      <c r="II38" s="238"/>
      <c r="IJ38" s="238"/>
      <c r="IK38" s="238"/>
      <c r="IL38" s="238"/>
      <c r="IM38" s="238"/>
      <c r="IN38" s="238"/>
      <c r="IO38" s="238"/>
      <c r="IP38" s="238"/>
      <c r="IQ38" s="238"/>
      <c r="IR38" s="238"/>
      <c r="IS38" s="238"/>
      <c r="IT38" s="238"/>
      <c r="IU38" s="238"/>
    </row>
    <row r="39" spans="1:255" s="239" customFormat="1" ht="19.5" customHeight="1">
      <c r="A39" s="295" t="s">
        <v>750</v>
      </c>
      <c r="B39" s="293"/>
      <c r="C39" s="293"/>
      <c r="D39" s="294"/>
      <c r="E39" s="294"/>
      <c r="F39" s="235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7"/>
      <c r="X39" s="237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238"/>
      <c r="AJ39" s="238"/>
      <c r="AK39" s="238"/>
      <c r="AL39" s="238"/>
      <c r="AM39" s="238"/>
      <c r="AN39" s="238"/>
      <c r="AO39" s="238"/>
      <c r="AP39" s="238"/>
      <c r="AQ39" s="238"/>
      <c r="AR39" s="238"/>
      <c r="AS39" s="238"/>
      <c r="AT39" s="238"/>
      <c r="AU39" s="238"/>
      <c r="AV39" s="238"/>
      <c r="AW39" s="238"/>
      <c r="AX39" s="238"/>
      <c r="AY39" s="238"/>
      <c r="AZ39" s="238"/>
      <c r="BA39" s="238"/>
      <c r="BB39" s="238"/>
      <c r="BC39" s="238"/>
      <c r="BD39" s="238"/>
      <c r="BE39" s="238"/>
      <c r="BF39" s="238"/>
      <c r="BG39" s="238"/>
      <c r="BH39" s="238"/>
      <c r="BI39" s="238"/>
      <c r="BJ39" s="238"/>
      <c r="BK39" s="238"/>
      <c r="BL39" s="238"/>
      <c r="BM39" s="238"/>
      <c r="BN39" s="238"/>
      <c r="BO39" s="238"/>
      <c r="BP39" s="238"/>
      <c r="BQ39" s="238"/>
      <c r="BR39" s="238"/>
      <c r="BS39" s="238"/>
      <c r="BT39" s="238"/>
      <c r="BU39" s="238"/>
      <c r="BV39" s="238"/>
      <c r="BW39" s="238"/>
      <c r="BX39" s="238"/>
      <c r="BY39" s="238"/>
      <c r="BZ39" s="238"/>
      <c r="CA39" s="238"/>
      <c r="CB39" s="238"/>
      <c r="CC39" s="238"/>
      <c r="CD39" s="238"/>
      <c r="CE39" s="238"/>
      <c r="CF39" s="238"/>
      <c r="CG39" s="238"/>
      <c r="CH39" s="238"/>
      <c r="CI39" s="238"/>
      <c r="CJ39" s="238"/>
      <c r="CK39" s="238"/>
      <c r="CL39" s="238"/>
      <c r="CM39" s="238"/>
      <c r="CN39" s="238"/>
      <c r="CO39" s="238"/>
      <c r="CP39" s="238"/>
      <c r="CQ39" s="238"/>
      <c r="CR39" s="238"/>
      <c r="CS39" s="238"/>
      <c r="CT39" s="238"/>
      <c r="CU39" s="238"/>
      <c r="CV39" s="238"/>
      <c r="CW39" s="238"/>
      <c r="CX39" s="238"/>
      <c r="CY39" s="238"/>
      <c r="CZ39" s="238"/>
      <c r="DA39" s="238"/>
      <c r="DB39" s="238"/>
      <c r="DC39" s="238"/>
      <c r="DD39" s="238"/>
      <c r="DE39" s="238"/>
      <c r="DF39" s="238"/>
      <c r="DG39" s="238"/>
      <c r="DH39" s="238"/>
      <c r="DI39" s="238"/>
      <c r="DJ39" s="238"/>
      <c r="DK39" s="238"/>
      <c r="DL39" s="238"/>
      <c r="DM39" s="238"/>
      <c r="DN39" s="238"/>
      <c r="DO39" s="238"/>
      <c r="DP39" s="238"/>
      <c r="DQ39" s="238"/>
      <c r="DR39" s="238"/>
      <c r="DS39" s="238"/>
      <c r="DT39" s="238"/>
      <c r="DU39" s="238"/>
      <c r="DV39" s="238"/>
      <c r="DW39" s="238"/>
      <c r="DX39" s="238"/>
      <c r="DY39" s="238"/>
      <c r="DZ39" s="238"/>
      <c r="EA39" s="238"/>
      <c r="EB39" s="238"/>
      <c r="EC39" s="238"/>
      <c r="ED39" s="238"/>
      <c r="EE39" s="238"/>
      <c r="EF39" s="238"/>
      <c r="EG39" s="238"/>
      <c r="EH39" s="238"/>
      <c r="EI39" s="238"/>
      <c r="EJ39" s="238"/>
      <c r="EK39" s="238"/>
      <c r="EL39" s="238"/>
      <c r="EM39" s="238"/>
      <c r="EN39" s="238"/>
      <c r="EO39" s="238"/>
      <c r="EP39" s="238"/>
      <c r="EQ39" s="238"/>
      <c r="ER39" s="238"/>
      <c r="ES39" s="238"/>
      <c r="ET39" s="238"/>
      <c r="EU39" s="238"/>
      <c r="EV39" s="238"/>
      <c r="EW39" s="238"/>
      <c r="EX39" s="238"/>
      <c r="EY39" s="238"/>
      <c r="EZ39" s="238"/>
      <c r="FA39" s="238"/>
      <c r="FB39" s="238"/>
      <c r="FC39" s="238"/>
      <c r="FD39" s="238"/>
      <c r="FE39" s="238"/>
      <c r="FF39" s="238"/>
      <c r="FG39" s="238"/>
      <c r="FH39" s="238"/>
      <c r="FI39" s="238"/>
      <c r="FJ39" s="238"/>
      <c r="FK39" s="238"/>
      <c r="FL39" s="238"/>
      <c r="FM39" s="238"/>
      <c r="FN39" s="238"/>
      <c r="FO39" s="238"/>
      <c r="FP39" s="238"/>
      <c r="FQ39" s="238"/>
      <c r="FR39" s="238"/>
      <c r="FS39" s="238"/>
      <c r="FT39" s="238"/>
      <c r="FU39" s="238"/>
      <c r="FV39" s="238"/>
      <c r="FW39" s="238"/>
      <c r="FX39" s="238"/>
      <c r="FY39" s="238"/>
      <c r="FZ39" s="238"/>
      <c r="GA39" s="238"/>
      <c r="GB39" s="238"/>
      <c r="GC39" s="238"/>
      <c r="GD39" s="238"/>
      <c r="GE39" s="238"/>
      <c r="GF39" s="238"/>
      <c r="GG39" s="238"/>
      <c r="GH39" s="238"/>
      <c r="GI39" s="238"/>
      <c r="GJ39" s="238"/>
      <c r="GK39" s="238"/>
      <c r="GL39" s="238"/>
      <c r="GM39" s="238"/>
      <c r="GN39" s="238"/>
      <c r="GO39" s="238"/>
      <c r="GP39" s="238"/>
      <c r="GQ39" s="238"/>
      <c r="GR39" s="238"/>
      <c r="GS39" s="238"/>
      <c r="GT39" s="238"/>
      <c r="GU39" s="238"/>
      <c r="GV39" s="238"/>
      <c r="GW39" s="238"/>
      <c r="GX39" s="238"/>
      <c r="GY39" s="238"/>
      <c r="GZ39" s="238"/>
      <c r="HA39" s="238"/>
      <c r="HB39" s="238"/>
      <c r="HC39" s="238"/>
      <c r="HD39" s="238"/>
      <c r="HE39" s="238"/>
      <c r="HF39" s="238"/>
      <c r="HG39" s="238"/>
      <c r="HH39" s="238"/>
      <c r="HI39" s="238"/>
      <c r="HJ39" s="238"/>
      <c r="HK39" s="238"/>
      <c r="HL39" s="238"/>
      <c r="HM39" s="238"/>
      <c r="HN39" s="238"/>
      <c r="HO39" s="238"/>
      <c r="HP39" s="238"/>
      <c r="HQ39" s="238"/>
      <c r="HR39" s="238"/>
      <c r="HS39" s="238"/>
      <c r="HT39" s="238"/>
      <c r="HU39" s="238"/>
      <c r="HV39" s="238"/>
      <c r="HW39" s="238"/>
      <c r="HX39" s="238"/>
      <c r="HY39" s="238"/>
      <c r="HZ39" s="238"/>
      <c r="IA39" s="238"/>
      <c r="IB39" s="238"/>
      <c r="IC39" s="238"/>
      <c r="ID39" s="238"/>
      <c r="IE39" s="238"/>
      <c r="IF39" s="238"/>
      <c r="IG39" s="238"/>
      <c r="IH39" s="238"/>
      <c r="II39" s="238"/>
      <c r="IJ39" s="238"/>
      <c r="IK39" s="238"/>
      <c r="IL39" s="238"/>
      <c r="IM39" s="238"/>
      <c r="IN39" s="238"/>
      <c r="IO39" s="238"/>
      <c r="IP39" s="238"/>
      <c r="IQ39" s="238"/>
      <c r="IR39" s="238"/>
      <c r="IS39" s="238"/>
      <c r="IT39" s="238"/>
      <c r="IU39" s="238"/>
    </row>
    <row r="40" spans="1:24" s="220" customFormat="1" ht="15">
      <c r="A40" s="289" t="s">
        <v>585</v>
      </c>
      <c r="B40" s="290"/>
      <c r="C40" s="290"/>
      <c r="D40" s="273"/>
      <c r="E40" s="273"/>
      <c r="F40" s="217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9"/>
      <c r="X40" s="219"/>
    </row>
    <row r="41" spans="1:24" s="220" customFormat="1" ht="15">
      <c r="A41" s="301"/>
      <c r="B41" s="290"/>
      <c r="C41" s="290"/>
      <c r="D41" s="273"/>
      <c r="E41" s="273"/>
      <c r="F41" s="217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9"/>
      <c r="X41" s="219"/>
    </row>
    <row r="42" spans="1:255" s="234" customFormat="1" ht="14.25">
      <c r="A42" s="289" t="s">
        <v>769</v>
      </c>
      <c r="B42" s="290"/>
      <c r="C42" s="290"/>
      <c r="D42" s="273"/>
      <c r="E42" s="273"/>
      <c r="F42" s="230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2"/>
      <c r="X42" s="232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3"/>
      <c r="AK42" s="233"/>
      <c r="AL42" s="233"/>
      <c r="AM42" s="233"/>
      <c r="AN42" s="233"/>
      <c r="AO42" s="233"/>
      <c r="AP42" s="233"/>
      <c r="AQ42" s="233"/>
      <c r="AR42" s="233"/>
      <c r="AS42" s="233"/>
      <c r="AT42" s="233"/>
      <c r="AU42" s="233"/>
      <c r="AV42" s="233"/>
      <c r="AW42" s="233"/>
      <c r="AX42" s="233"/>
      <c r="AY42" s="233"/>
      <c r="AZ42" s="233"/>
      <c r="BA42" s="233"/>
      <c r="BB42" s="233"/>
      <c r="BC42" s="233"/>
      <c r="BD42" s="233"/>
      <c r="BE42" s="233"/>
      <c r="BF42" s="233"/>
      <c r="BG42" s="233"/>
      <c r="BH42" s="233"/>
      <c r="BI42" s="233"/>
      <c r="BJ42" s="233"/>
      <c r="BK42" s="233"/>
      <c r="BL42" s="233"/>
      <c r="BM42" s="233"/>
      <c r="BN42" s="233"/>
      <c r="BO42" s="233"/>
      <c r="BP42" s="233"/>
      <c r="BQ42" s="233"/>
      <c r="BR42" s="233"/>
      <c r="BS42" s="233"/>
      <c r="BT42" s="233"/>
      <c r="BU42" s="233"/>
      <c r="BV42" s="233"/>
      <c r="BW42" s="233"/>
      <c r="BX42" s="233"/>
      <c r="BY42" s="233"/>
      <c r="BZ42" s="233"/>
      <c r="CA42" s="233"/>
      <c r="CB42" s="233"/>
      <c r="CC42" s="233"/>
      <c r="CD42" s="233"/>
      <c r="CE42" s="233"/>
      <c r="CF42" s="233"/>
      <c r="CG42" s="233"/>
      <c r="CH42" s="233"/>
      <c r="CI42" s="233"/>
      <c r="CJ42" s="233"/>
      <c r="CK42" s="233"/>
      <c r="CL42" s="233"/>
      <c r="CM42" s="233"/>
      <c r="CN42" s="233"/>
      <c r="CO42" s="233"/>
      <c r="CP42" s="233"/>
      <c r="CQ42" s="233"/>
      <c r="CR42" s="233"/>
      <c r="CS42" s="233"/>
      <c r="CT42" s="233"/>
      <c r="CU42" s="233"/>
      <c r="CV42" s="233"/>
      <c r="CW42" s="233"/>
      <c r="CX42" s="233"/>
      <c r="CY42" s="233"/>
      <c r="CZ42" s="233"/>
      <c r="DA42" s="233"/>
      <c r="DB42" s="233"/>
      <c r="DC42" s="233"/>
      <c r="DD42" s="233"/>
      <c r="DE42" s="233"/>
      <c r="DF42" s="233"/>
      <c r="DG42" s="233"/>
      <c r="DH42" s="233"/>
      <c r="DI42" s="233"/>
      <c r="DJ42" s="233"/>
      <c r="DK42" s="233"/>
      <c r="DL42" s="233"/>
      <c r="DM42" s="233"/>
      <c r="DN42" s="233"/>
      <c r="DO42" s="233"/>
      <c r="DP42" s="233"/>
      <c r="DQ42" s="233"/>
      <c r="DR42" s="233"/>
      <c r="DS42" s="233"/>
      <c r="DT42" s="233"/>
      <c r="DU42" s="233"/>
      <c r="DV42" s="233"/>
      <c r="DW42" s="233"/>
      <c r="DX42" s="233"/>
      <c r="DY42" s="233"/>
      <c r="DZ42" s="233"/>
      <c r="EA42" s="233"/>
      <c r="EB42" s="233"/>
      <c r="EC42" s="233"/>
      <c r="ED42" s="233"/>
      <c r="EE42" s="233"/>
      <c r="EF42" s="233"/>
      <c r="EG42" s="233"/>
      <c r="EH42" s="233"/>
      <c r="EI42" s="233"/>
      <c r="EJ42" s="233"/>
      <c r="EK42" s="233"/>
      <c r="EL42" s="233"/>
      <c r="EM42" s="233"/>
      <c r="EN42" s="233"/>
      <c r="EO42" s="233"/>
      <c r="EP42" s="233"/>
      <c r="EQ42" s="233"/>
      <c r="ER42" s="233"/>
      <c r="ES42" s="233"/>
      <c r="ET42" s="233"/>
      <c r="EU42" s="233"/>
      <c r="EV42" s="233"/>
      <c r="EW42" s="233"/>
      <c r="EX42" s="233"/>
      <c r="EY42" s="233"/>
      <c r="EZ42" s="233"/>
      <c r="FA42" s="233"/>
      <c r="FB42" s="233"/>
      <c r="FC42" s="233"/>
      <c r="FD42" s="233"/>
      <c r="FE42" s="233"/>
      <c r="FF42" s="233"/>
      <c r="FG42" s="233"/>
      <c r="FH42" s="233"/>
      <c r="FI42" s="233"/>
      <c r="FJ42" s="233"/>
      <c r="FK42" s="233"/>
      <c r="FL42" s="233"/>
      <c r="FM42" s="233"/>
      <c r="FN42" s="233"/>
      <c r="FO42" s="233"/>
      <c r="FP42" s="233"/>
      <c r="FQ42" s="233"/>
      <c r="FR42" s="233"/>
      <c r="FS42" s="233"/>
      <c r="FT42" s="233"/>
      <c r="FU42" s="233"/>
      <c r="FV42" s="233"/>
      <c r="FW42" s="233"/>
      <c r="FX42" s="233"/>
      <c r="FY42" s="233"/>
      <c r="FZ42" s="233"/>
      <c r="GA42" s="233"/>
      <c r="GB42" s="233"/>
      <c r="GC42" s="233"/>
      <c r="GD42" s="233"/>
      <c r="GE42" s="233"/>
      <c r="GF42" s="233"/>
      <c r="GG42" s="233"/>
      <c r="GH42" s="233"/>
      <c r="GI42" s="233"/>
      <c r="GJ42" s="233"/>
      <c r="GK42" s="233"/>
      <c r="GL42" s="233"/>
      <c r="GM42" s="233"/>
      <c r="GN42" s="233"/>
      <c r="GO42" s="233"/>
      <c r="GP42" s="233"/>
      <c r="GQ42" s="233"/>
      <c r="GR42" s="233"/>
      <c r="GS42" s="233"/>
      <c r="GT42" s="233"/>
      <c r="GU42" s="233"/>
      <c r="GV42" s="233"/>
      <c r="GW42" s="233"/>
      <c r="GX42" s="233"/>
      <c r="GY42" s="233"/>
      <c r="GZ42" s="233"/>
      <c r="HA42" s="233"/>
      <c r="HB42" s="233"/>
      <c r="HC42" s="233"/>
      <c r="HD42" s="233"/>
      <c r="HE42" s="233"/>
      <c r="HF42" s="233"/>
      <c r="HG42" s="233"/>
      <c r="HH42" s="233"/>
      <c r="HI42" s="233"/>
      <c r="HJ42" s="233"/>
      <c r="HK42" s="233"/>
      <c r="HL42" s="233"/>
      <c r="HM42" s="233"/>
      <c r="HN42" s="233"/>
      <c r="HO42" s="233"/>
      <c r="HP42" s="233"/>
      <c r="HQ42" s="233"/>
      <c r="HR42" s="233"/>
      <c r="HS42" s="233"/>
      <c r="HT42" s="233"/>
      <c r="HU42" s="233"/>
      <c r="HV42" s="233"/>
      <c r="HW42" s="233"/>
      <c r="HX42" s="233"/>
      <c r="HY42" s="233"/>
      <c r="HZ42" s="233"/>
      <c r="IA42" s="233"/>
      <c r="IB42" s="233"/>
      <c r="IC42" s="233"/>
      <c r="ID42" s="233"/>
      <c r="IE42" s="233"/>
      <c r="IF42" s="233"/>
      <c r="IG42" s="233"/>
      <c r="IH42" s="233"/>
      <c r="II42" s="233"/>
      <c r="IJ42" s="233"/>
      <c r="IK42" s="233"/>
      <c r="IL42" s="233"/>
      <c r="IM42" s="233"/>
      <c r="IN42" s="233"/>
      <c r="IO42" s="233"/>
      <c r="IP42" s="233"/>
      <c r="IQ42" s="233"/>
      <c r="IR42" s="233"/>
      <c r="IS42" s="233"/>
      <c r="IT42" s="233"/>
      <c r="IU42" s="233"/>
    </row>
    <row r="43" spans="1:24" s="220" customFormat="1" ht="15">
      <c r="A43" s="301" t="s">
        <v>727</v>
      </c>
      <c r="B43" s="290"/>
      <c r="C43" s="290"/>
      <c r="D43" s="273"/>
      <c r="E43" s="273"/>
      <c r="F43" s="217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9"/>
      <c r="X43" s="219"/>
    </row>
    <row r="44" spans="1:24" s="220" customFormat="1" ht="15">
      <c r="A44" s="302" t="s">
        <v>67</v>
      </c>
      <c r="B44" s="290"/>
      <c r="C44" s="290"/>
      <c r="D44" s="273"/>
      <c r="E44" s="273"/>
      <c r="F44" s="217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9"/>
      <c r="X44" s="219"/>
    </row>
    <row r="45" spans="1:24" s="220" customFormat="1" ht="15">
      <c r="A45" s="302"/>
      <c r="B45" s="290"/>
      <c r="C45" s="290"/>
      <c r="D45" s="273"/>
      <c r="E45" s="273"/>
      <c r="F45" s="217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9"/>
      <c r="X45" s="219"/>
    </row>
    <row r="46" spans="1:24" s="220" customFormat="1" ht="15">
      <c r="A46" s="269" t="s">
        <v>572</v>
      </c>
      <c r="B46" s="290"/>
      <c r="C46" s="290"/>
      <c r="D46" s="273"/>
      <c r="E46" s="273"/>
      <c r="F46" s="217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9"/>
      <c r="X46" s="219"/>
    </row>
    <row r="47" spans="1:24" s="220" customFormat="1" ht="15">
      <c r="A47" s="269" t="s">
        <v>579</v>
      </c>
      <c r="B47" s="290"/>
      <c r="C47" s="290"/>
      <c r="D47" s="273"/>
      <c r="E47" s="273"/>
      <c r="F47" s="217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9"/>
      <c r="X47" s="219"/>
    </row>
    <row r="48" spans="1:24" s="220" customFormat="1" ht="15">
      <c r="A48" s="269" t="s">
        <v>778</v>
      </c>
      <c r="B48" s="290"/>
      <c r="C48" s="290"/>
      <c r="D48" s="273"/>
      <c r="E48" s="273"/>
      <c r="F48" s="217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9"/>
      <c r="X48" s="219"/>
    </row>
    <row r="49" spans="1:24" s="220" customFormat="1" ht="15">
      <c r="A49" s="269" t="s">
        <v>779</v>
      </c>
      <c r="B49" s="290"/>
      <c r="C49" s="290"/>
      <c r="D49" s="273"/>
      <c r="E49" s="273"/>
      <c r="F49" s="217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9"/>
      <c r="X49" s="219"/>
    </row>
    <row r="50" spans="1:24" s="220" customFormat="1" ht="15">
      <c r="A50" s="269" t="s">
        <v>780</v>
      </c>
      <c r="B50" s="290"/>
      <c r="C50" s="290"/>
      <c r="D50" s="273"/>
      <c r="E50" s="273"/>
      <c r="F50" s="217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9"/>
      <c r="X50" s="219"/>
    </row>
    <row r="51" spans="1:24" s="220" customFormat="1" ht="15">
      <c r="A51" s="269" t="s">
        <v>573</v>
      </c>
      <c r="B51" s="290"/>
      <c r="C51" s="290"/>
      <c r="D51" s="273"/>
      <c r="E51" s="273"/>
      <c r="F51" s="217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9"/>
      <c r="X51" s="219"/>
    </row>
    <row r="52" spans="1:24" s="220" customFormat="1" ht="15">
      <c r="A52" s="269" t="s">
        <v>581</v>
      </c>
      <c r="B52" s="290"/>
      <c r="C52" s="290"/>
      <c r="D52" s="273"/>
      <c r="E52" s="273"/>
      <c r="F52" s="217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8"/>
      <c r="T52" s="218"/>
      <c r="U52" s="218"/>
      <c r="V52" s="218"/>
      <c r="W52" s="219"/>
      <c r="X52" s="219"/>
    </row>
    <row r="53" spans="1:24" s="220" customFormat="1" ht="15">
      <c r="A53" s="269" t="s">
        <v>799</v>
      </c>
      <c r="B53" s="290"/>
      <c r="C53" s="290"/>
      <c r="D53" s="273"/>
      <c r="E53" s="273"/>
      <c r="F53" s="217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218"/>
      <c r="V53" s="218"/>
      <c r="W53" s="219"/>
      <c r="X53" s="219"/>
    </row>
    <row r="54" spans="1:24" s="220" customFormat="1" ht="15">
      <c r="A54" s="269" t="s">
        <v>781</v>
      </c>
      <c r="B54" s="290"/>
      <c r="C54" s="290"/>
      <c r="D54" s="273"/>
      <c r="E54" s="273"/>
      <c r="F54" s="217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18"/>
      <c r="U54" s="218"/>
      <c r="V54" s="218"/>
      <c r="W54" s="219"/>
      <c r="X54" s="219"/>
    </row>
    <row r="55" spans="1:24" s="220" customFormat="1" ht="15">
      <c r="A55" s="269" t="s">
        <v>782</v>
      </c>
      <c r="B55" s="290"/>
      <c r="C55" s="290"/>
      <c r="D55" s="273"/>
      <c r="E55" s="273"/>
      <c r="F55" s="217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8"/>
      <c r="S55" s="218"/>
      <c r="T55" s="218"/>
      <c r="U55" s="218"/>
      <c r="V55" s="218"/>
      <c r="W55" s="219"/>
      <c r="X55" s="219"/>
    </row>
    <row r="56" spans="1:24" s="220" customFormat="1" ht="15">
      <c r="A56" s="269" t="s">
        <v>783</v>
      </c>
      <c r="B56" s="290"/>
      <c r="C56" s="290"/>
      <c r="D56" s="273"/>
      <c r="E56" s="273"/>
      <c r="F56" s="217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9"/>
      <c r="X56" s="219"/>
    </row>
    <row r="57" spans="1:24" s="220" customFormat="1" ht="15">
      <c r="A57" s="269" t="s">
        <v>784</v>
      </c>
      <c r="B57" s="290"/>
      <c r="C57" s="290"/>
      <c r="D57" s="273"/>
      <c r="E57" s="273"/>
      <c r="F57" s="217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18"/>
      <c r="S57" s="218"/>
      <c r="T57" s="218"/>
      <c r="U57" s="218"/>
      <c r="V57" s="218"/>
      <c r="W57" s="219"/>
      <c r="X57" s="219"/>
    </row>
    <row r="58" spans="1:24" s="220" customFormat="1" ht="15">
      <c r="A58" s="303" t="s">
        <v>487</v>
      </c>
      <c r="B58" s="290"/>
      <c r="C58" s="290"/>
      <c r="D58" s="273"/>
      <c r="E58" s="273"/>
      <c r="F58" s="217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/>
      <c r="T58" s="218"/>
      <c r="U58" s="218"/>
      <c r="V58" s="218"/>
      <c r="W58" s="219"/>
      <c r="X58" s="219"/>
    </row>
    <row r="59" spans="1:24" s="220" customFormat="1" ht="15">
      <c r="A59" s="269" t="s">
        <v>818</v>
      </c>
      <c r="B59" s="290"/>
      <c r="C59" s="290"/>
      <c r="D59" s="273"/>
      <c r="E59" s="273"/>
      <c r="F59" s="217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9"/>
      <c r="X59" s="219"/>
    </row>
    <row r="60" spans="1:24" s="220" customFormat="1" ht="15">
      <c r="A60" s="269" t="s">
        <v>582</v>
      </c>
      <c r="B60" s="290"/>
      <c r="C60" s="290"/>
      <c r="D60" s="273"/>
      <c r="E60" s="273"/>
      <c r="F60" s="217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8"/>
      <c r="S60" s="218"/>
      <c r="T60" s="218"/>
      <c r="U60" s="218"/>
      <c r="V60" s="218"/>
      <c r="W60" s="219"/>
      <c r="X60" s="219"/>
    </row>
    <row r="61" spans="1:24" s="220" customFormat="1" ht="15">
      <c r="A61" s="269" t="s">
        <v>800</v>
      </c>
      <c r="B61" s="290"/>
      <c r="C61" s="290"/>
      <c r="D61" s="273"/>
      <c r="E61" s="273"/>
      <c r="F61" s="217"/>
      <c r="G61" s="218"/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218"/>
      <c r="S61" s="218"/>
      <c r="T61" s="218"/>
      <c r="U61" s="218"/>
      <c r="V61" s="218"/>
      <c r="W61" s="219"/>
      <c r="X61" s="219"/>
    </row>
    <row r="62" spans="1:24" s="220" customFormat="1" ht="15">
      <c r="A62" s="269" t="s">
        <v>801</v>
      </c>
      <c r="B62" s="290"/>
      <c r="C62" s="290"/>
      <c r="D62" s="273"/>
      <c r="E62" s="273"/>
      <c r="F62" s="217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218"/>
      <c r="W62" s="219"/>
      <c r="X62" s="219"/>
    </row>
    <row r="63" spans="1:24" s="220" customFormat="1" ht="15">
      <c r="A63" s="269" t="s">
        <v>802</v>
      </c>
      <c r="B63" s="290"/>
      <c r="C63" s="290"/>
      <c r="D63" s="273"/>
      <c r="E63" s="273"/>
      <c r="F63" s="217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218"/>
      <c r="W63" s="219"/>
      <c r="X63" s="219"/>
    </row>
    <row r="64" spans="1:24" s="220" customFormat="1" ht="15">
      <c r="A64" s="269" t="s">
        <v>583</v>
      </c>
      <c r="B64" s="290"/>
      <c r="C64" s="290"/>
      <c r="D64" s="273"/>
      <c r="E64" s="273"/>
      <c r="F64" s="217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9"/>
      <c r="X64" s="219"/>
    </row>
    <row r="65" spans="1:24" s="220" customFormat="1" ht="15">
      <c r="A65" s="354" t="s">
        <v>584</v>
      </c>
      <c r="B65" s="290"/>
      <c r="C65" s="290"/>
      <c r="D65" s="273"/>
      <c r="E65" s="273"/>
      <c r="F65" s="217"/>
      <c r="G65" s="218"/>
      <c r="H65" s="218"/>
      <c r="I65" s="218"/>
      <c r="J65" s="218"/>
      <c r="K65" s="218"/>
      <c r="L65" s="218"/>
      <c r="M65" s="218"/>
      <c r="N65" s="218"/>
      <c r="O65" s="218"/>
      <c r="P65" s="218"/>
      <c r="Q65" s="218"/>
      <c r="R65" s="218"/>
      <c r="S65" s="218"/>
      <c r="T65" s="218"/>
      <c r="U65" s="218"/>
      <c r="V65" s="218"/>
      <c r="W65" s="219"/>
      <c r="X65" s="219"/>
    </row>
    <row r="66" spans="1:24" s="220" customFormat="1" ht="16.5">
      <c r="A66" s="355" t="s">
        <v>785</v>
      </c>
      <c r="B66" s="290"/>
      <c r="C66" s="290"/>
      <c r="D66" s="273"/>
      <c r="E66" s="273"/>
      <c r="F66" s="217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9"/>
      <c r="X66" s="219"/>
    </row>
    <row r="67" spans="1:24" s="220" customFormat="1" ht="16.5">
      <c r="A67" s="356" t="s">
        <v>786</v>
      </c>
      <c r="B67" s="290"/>
      <c r="C67" s="290"/>
      <c r="D67" s="273"/>
      <c r="E67" s="273"/>
      <c r="F67" s="217"/>
      <c r="G67" s="218"/>
      <c r="H67" s="218"/>
      <c r="I67" s="218"/>
      <c r="J67" s="218"/>
      <c r="K67" s="218"/>
      <c r="L67" s="218"/>
      <c r="M67" s="218"/>
      <c r="N67" s="218"/>
      <c r="O67" s="218"/>
      <c r="P67" s="218"/>
      <c r="Q67" s="218"/>
      <c r="R67" s="218"/>
      <c r="S67" s="218"/>
      <c r="T67" s="218"/>
      <c r="U67" s="218"/>
      <c r="V67" s="218"/>
      <c r="W67" s="219"/>
      <c r="X67" s="219"/>
    </row>
    <row r="68" spans="1:24" s="220" customFormat="1" ht="16.5">
      <c r="A68" s="356" t="s">
        <v>787</v>
      </c>
      <c r="B68" s="290"/>
      <c r="C68" s="290"/>
      <c r="D68" s="273"/>
      <c r="E68" s="273"/>
      <c r="F68" s="217"/>
      <c r="G68" s="218"/>
      <c r="H68" s="218"/>
      <c r="I68" s="218"/>
      <c r="J68" s="218"/>
      <c r="K68" s="218"/>
      <c r="L68" s="218"/>
      <c r="M68" s="218"/>
      <c r="N68" s="218"/>
      <c r="O68" s="218"/>
      <c r="P68" s="218"/>
      <c r="Q68" s="218"/>
      <c r="R68" s="218"/>
      <c r="S68" s="218"/>
      <c r="T68" s="218"/>
      <c r="U68" s="218"/>
      <c r="V68" s="218"/>
      <c r="W68" s="219"/>
      <c r="X68" s="219"/>
    </row>
    <row r="69" spans="1:24" s="220" customFormat="1" ht="16.5">
      <c r="A69" s="356" t="s">
        <v>788</v>
      </c>
      <c r="B69" s="290"/>
      <c r="C69" s="290"/>
      <c r="D69" s="273"/>
      <c r="E69" s="273"/>
      <c r="F69" s="217"/>
      <c r="G69" s="218"/>
      <c r="H69" s="218"/>
      <c r="I69" s="218"/>
      <c r="J69" s="218"/>
      <c r="K69" s="218"/>
      <c r="L69" s="218"/>
      <c r="M69" s="218"/>
      <c r="N69" s="218"/>
      <c r="O69" s="218"/>
      <c r="P69" s="218"/>
      <c r="Q69" s="218"/>
      <c r="R69" s="218"/>
      <c r="S69" s="218"/>
      <c r="T69" s="218"/>
      <c r="U69" s="218"/>
      <c r="V69" s="218"/>
      <c r="W69" s="219"/>
      <c r="X69" s="219"/>
    </row>
    <row r="70" spans="1:24" s="220" customFormat="1" ht="16.5">
      <c r="A70" s="355" t="s">
        <v>789</v>
      </c>
      <c r="B70" s="290"/>
      <c r="C70" s="290"/>
      <c r="D70" s="273"/>
      <c r="E70" s="273"/>
      <c r="F70" s="217"/>
      <c r="G70" s="218"/>
      <c r="H70" s="218"/>
      <c r="I70" s="218"/>
      <c r="J70" s="218"/>
      <c r="K70" s="218"/>
      <c r="L70" s="218"/>
      <c r="M70" s="218"/>
      <c r="N70" s="218"/>
      <c r="O70" s="218"/>
      <c r="P70" s="218"/>
      <c r="Q70" s="218"/>
      <c r="R70" s="218"/>
      <c r="S70" s="218"/>
      <c r="T70" s="218"/>
      <c r="U70" s="218"/>
      <c r="V70" s="218"/>
      <c r="W70" s="219"/>
      <c r="X70" s="219"/>
    </row>
    <row r="71" spans="1:24" s="220" customFormat="1" ht="16.5">
      <c r="A71" s="357" t="s">
        <v>790</v>
      </c>
      <c r="B71" s="290"/>
      <c r="C71" s="290"/>
      <c r="D71" s="273"/>
      <c r="E71" s="273"/>
      <c r="F71" s="217"/>
      <c r="G71" s="218"/>
      <c r="H71" s="218"/>
      <c r="I71" s="218"/>
      <c r="J71" s="218"/>
      <c r="K71" s="218"/>
      <c r="L71" s="218"/>
      <c r="M71" s="218"/>
      <c r="N71" s="218"/>
      <c r="O71" s="218"/>
      <c r="P71" s="218"/>
      <c r="Q71" s="218"/>
      <c r="R71" s="218"/>
      <c r="S71" s="218"/>
      <c r="T71" s="218"/>
      <c r="U71" s="218"/>
      <c r="V71" s="218"/>
      <c r="W71" s="219"/>
      <c r="X71" s="219"/>
    </row>
    <row r="72" spans="1:24" s="220" customFormat="1" ht="16.5">
      <c r="A72" s="356" t="s">
        <v>791</v>
      </c>
      <c r="B72" s="290"/>
      <c r="C72" s="290"/>
      <c r="D72" s="273"/>
      <c r="E72" s="273"/>
      <c r="F72" s="217"/>
      <c r="G72" s="218"/>
      <c r="H72" s="218"/>
      <c r="I72" s="218"/>
      <c r="J72" s="218"/>
      <c r="K72" s="218"/>
      <c r="L72" s="218"/>
      <c r="M72" s="218"/>
      <c r="N72" s="218"/>
      <c r="O72" s="218"/>
      <c r="P72" s="218"/>
      <c r="Q72" s="218"/>
      <c r="R72" s="218"/>
      <c r="S72" s="218"/>
      <c r="T72" s="218"/>
      <c r="U72" s="218"/>
      <c r="V72" s="218"/>
      <c r="W72" s="219"/>
      <c r="X72" s="219"/>
    </row>
    <row r="73" spans="1:24" s="220" customFormat="1" ht="16.5">
      <c r="A73" s="358" t="s">
        <v>335</v>
      </c>
      <c r="B73" s="290"/>
      <c r="C73" s="290"/>
      <c r="D73" s="273"/>
      <c r="E73" s="273"/>
      <c r="F73" s="217"/>
      <c r="G73" s="218"/>
      <c r="H73" s="218"/>
      <c r="I73" s="218"/>
      <c r="J73" s="218"/>
      <c r="K73" s="218"/>
      <c r="L73" s="218"/>
      <c r="M73" s="218"/>
      <c r="N73" s="218"/>
      <c r="O73" s="218"/>
      <c r="P73" s="218"/>
      <c r="Q73" s="218"/>
      <c r="R73" s="218"/>
      <c r="S73" s="218"/>
      <c r="T73" s="218"/>
      <c r="U73" s="218"/>
      <c r="V73" s="218"/>
      <c r="W73" s="219"/>
      <c r="X73" s="219"/>
    </row>
    <row r="74" spans="1:24" s="220" customFormat="1" ht="16.5">
      <c r="A74" s="359" t="s">
        <v>792</v>
      </c>
      <c r="B74" s="290"/>
      <c r="C74" s="290"/>
      <c r="D74" s="273"/>
      <c r="E74" s="273"/>
      <c r="F74" s="217"/>
      <c r="G74" s="218"/>
      <c r="H74" s="218"/>
      <c r="I74" s="218"/>
      <c r="J74" s="218"/>
      <c r="K74" s="218"/>
      <c r="L74" s="218"/>
      <c r="M74" s="218"/>
      <c r="N74" s="218"/>
      <c r="O74" s="218"/>
      <c r="P74" s="218"/>
      <c r="Q74" s="218"/>
      <c r="R74" s="218"/>
      <c r="S74" s="218"/>
      <c r="T74" s="218"/>
      <c r="U74" s="218"/>
      <c r="V74" s="218"/>
      <c r="W74" s="219"/>
      <c r="X74" s="219"/>
    </row>
    <row r="75" spans="1:24" s="220" customFormat="1" ht="16.5">
      <c r="A75" s="355" t="s">
        <v>793</v>
      </c>
      <c r="B75" s="290"/>
      <c r="C75" s="290"/>
      <c r="D75" s="273"/>
      <c r="E75" s="273"/>
      <c r="F75" s="217"/>
      <c r="G75" s="218"/>
      <c r="H75" s="218"/>
      <c r="I75" s="218"/>
      <c r="J75" s="218"/>
      <c r="K75" s="218"/>
      <c r="L75" s="218"/>
      <c r="M75" s="218"/>
      <c r="N75" s="218"/>
      <c r="O75" s="218"/>
      <c r="P75" s="218"/>
      <c r="Q75" s="218"/>
      <c r="R75" s="218"/>
      <c r="S75" s="218"/>
      <c r="T75" s="218"/>
      <c r="U75" s="218"/>
      <c r="V75" s="218"/>
      <c r="W75" s="219"/>
      <c r="X75" s="219"/>
    </row>
    <row r="76" spans="1:24" s="220" customFormat="1" ht="16.5">
      <c r="A76" s="355" t="s">
        <v>794</v>
      </c>
      <c r="B76" s="290"/>
      <c r="C76" s="290"/>
      <c r="D76" s="273"/>
      <c r="E76" s="273"/>
      <c r="F76" s="217"/>
      <c r="G76" s="218"/>
      <c r="H76" s="218"/>
      <c r="I76" s="218"/>
      <c r="J76" s="218"/>
      <c r="K76" s="218"/>
      <c r="L76" s="218"/>
      <c r="M76" s="218"/>
      <c r="N76" s="218"/>
      <c r="O76" s="218"/>
      <c r="P76" s="218"/>
      <c r="Q76" s="218"/>
      <c r="R76" s="218"/>
      <c r="S76" s="218"/>
      <c r="T76" s="218"/>
      <c r="U76" s="218"/>
      <c r="V76" s="218"/>
      <c r="W76" s="219"/>
      <c r="X76" s="219"/>
    </row>
    <row r="77" spans="1:24" s="220" customFormat="1" ht="16.5">
      <c r="A77" s="355" t="s">
        <v>431</v>
      </c>
      <c r="B77" s="290"/>
      <c r="C77" s="290"/>
      <c r="D77" s="273"/>
      <c r="E77" s="273"/>
      <c r="F77" s="217"/>
      <c r="G77" s="218"/>
      <c r="H77" s="218"/>
      <c r="I77" s="218"/>
      <c r="J77" s="218"/>
      <c r="K77" s="218"/>
      <c r="L77" s="218"/>
      <c r="M77" s="218"/>
      <c r="N77" s="218"/>
      <c r="O77" s="218"/>
      <c r="P77" s="218"/>
      <c r="Q77" s="218"/>
      <c r="R77" s="218"/>
      <c r="S77" s="218"/>
      <c r="T77" s="218"/>
      <c r="U77" s="218"/>
      <c r="V77" s="218"/>
      <c r="W77" s="219"/>
      <c r="X77" s="219"/>
    </row>
    <row r="78" spans="1:24" s="220" customFormat="1" ht="16.5">
      <c r="A78" s="356" t="s">
        <v>795</v>
      </c>
      <c r="B78" s="290"/>
      <c r="C78" s="290"/>
      <c r="D78" s="273"/>
      <c r="E78" s="273"/>
      <c r="F78" s="217"/>
      <c r="G78" s="218"/>
      <c r="H78" s="218"/>
      <c r="I78" s="218"/>
      <c r="J78" s="218"/>
      <c r="K78" s="218"/>
      <c r="L78" s="218"/>
      <c r="M78" s="218"/>
      <c r="N78" s="218"/>
      <c r="O78" s="218"/>
      <c r="P78" s="218"/>
      <c r="Q78" s="218"/>
      <c r="R78" s="218"/>
      <c r="S78" s="218"/>
      <c r="T78" s="218"/>
      <c r="U78" s="218"/>
      <c r="V78" s="218"/>
      <c r="W78" s="219"/>
      <c r="X78" s="219"/>
    </row>
    <row r="79" spans="1:24" s="220" customFormat="1" ht="16.5">
      <c r="A79" s="355" t="s">
        <v>432</v>
      </c>
      <c r="B79" s="290"/>
      <c r="C79" s="290"/>
      <c r="D79" s="273"/>
      <c r="E79" s="273"/>
      <c r="F79" s="217"/>
      <c r="G79" s="218"/>
      <c r="H79" s="218"/>
      <c r="I79" s="218"/>
      <c r="J79" s="218"/>
      <c r="K79" s="218"/>
      <c r="L79" s="218"/>
      <c r="M79" s="218"/>
      <c r="N79" s="218"/>
      <c r="O79" s="218"/>
      <c r="P79" s="218"/>
      <c r="Q79" s="218"/>
      <c r="R79" s="218"/>
      <c r="S79" s="218"/>
      <c r="T79" s="218"/>
      <c r="U79" s="218"/>
      <c r="V79" s="218"/>
      <c r="W79" s="219"/>
      <c r="X79" s="219"/>
    </row>
    <row r="80" spans="1:24" s="220" customFormat="1" ht="16.5">
      <c r="A80" s="355" t="s">
        <v>796</v>
      </c>
      <c r="B80" s="290"/>
      <c r="C80" s="290"/>
      <c r="D80" s="273"/>
      <c r="E80" s="273"/>
      <c r="F80" s="217"/>
      <c r="G80" s="218"/>
      <c r="H80" s="218"/>
      <c r="I80" s="218"/>
      <c r="J80" s="218"/>
      <c r="K80" s="218"/>
      <c r="L80" s="218"/>
      <c r="M80" s="218"/>
      <c r="N80" s="218"/>
      <c r="O80" s="218"/>
      <c r="P80" s="218"/>
      <c r="Q80" s="218"/>
      <c r="R80" s="218"/>
      <c r="S80" s="218"/>
      <c r="T80" s="218"/>
      <c r="U80" s="218"/>
      <c r="V80" s="218"/>
      <c r="W80" s="219"/>
      <c r="X80" s="219"/>
    </row>
    <row r="81" spans="1:24" s="220" customFormat="1" ht="16.5">
      <c r="A81" s="355" t="s">
        <v>797</v>
      </c>
      <c r="B81" s="290"/>
      <c r="C81" s="290"/>
      <c r="D81" s="273"/>
      <c r="E81" s="273"/>
      <c r="F81" s="217"/>
      <c r="G81" s="218"/>
      <c r="H81" s="218"/>
      <c r="I81" s="218"/>
      <c r="J81" s="218"/>
      <c r="K81" s="218"/>
      <c r="L81" s="218"/>
      <c r="M81" s="218"/>
      <c r="N81" s="218"/>
      <c r="O81" s="218"/>
      <c r="P81" s="218"/>
      <c r="Q81" s="218"/>
      <c r="R81" s="218"/>
      <c r="S81" s="218"/>
      <c r="T81" s="218"/>
      <c r="U81" s="218"/>
      <c r="V81" s="218"/>
      <c r="W81" s="219"/>
      <c r="X81" s="219"/>
    </row>
    <row r="82" spans="1:24" s="220" customFormat="1" ht="48.75" customHeight="1">
      <c r="A82" s="302" t="s">
        <v>345</v>
      </c>
      <c r="B82" s="290"/>
      <c r="C82" s="290"/>
      <c r="D82" s="273"/>
      <c r="E82" s="273"/>
      <c r="F82" s="217"/>
      <c r="G82" s="218"/>
      <c r="H82" s="218"/>
      <c r="I82" s="218"/>
      <c r="J82" s="218"/>
      <c r="K82" s="218"/>
      <c r="L82" s="218"/>
      <c r="M82" s="218"/>
      <c r="N82" s="218"/>
      <c r="O82" s="218"/>
      <c r="P82" s="218"/>
      <c r="Q82" s="218"/>
      <c r="R82" s="218"/>
      <c r="S82" s="218"/>
      <c r="T82" s="218"/>
      <c r="U82" s="218"/>
      <c r="V82" s="218"/>
      <c r="W82" s="219"/>
      <c r="X82" s="219"/>
    </row>
    <row r="83" spans="1:24" s="220" customFormat="1" ht="15">
      <c r="A83" s="302" t="s">
        <v>591</v>
      </c>
      <c r="B83" s="290"/>
      <c r="C83" s="290"/>
      <c r="D83" s="273"/>
      <c r="E83" s="273"/>
      <c r="F83" s="217"/>
      <c r="G83" s="218"/>
      <c r="H83" s="218"/>
      <c r="I83" s="218"/>
      <c r="J83" s="218"/>
      <c r="K83" s="218"/>
      <c r="L83" s="218"/>
      <c r="M83" s="218"/>
      <c r="N83" s="218"/>
      <c r="O83" s="218"/>
      <c r="P83" s="218"/>
      <c r="Q83" s="218"/>
      <c r="R83" s="218"/>
      <c r="S83" s="218"/>
      <c r="T83" s="218"/>
      <c r="U83" s="218"/>
      <c r="V83" s="218"/>
      <c r="W83" s="219"/>
      <c r="X83" s="219"/>
    </row>
    <row r="84" spans="1:24" s="220" customFormat="1" ht="15">
      <c r="A84" s="302"/>
      <c r="B84" s="290"/>
      <c r="C84" s="290"/>
      <c r="D84" s="273"/>
      <c r="E84" s="273"/>
      <c r="F84" s="217"/>
      <c r="G84" s="218"/>
      <c r="H84" s="218"/>
      <c r="I84" s="218"/>
      <c r="J84" s="218"/>
      <c r="K84" s="218"/>
      <c r="L84" s="218"/>
      <c r="M84" s="218"/>
      <c r="N84" s="218"/>
      <c r="O84" s="218"/>
      <c r="P84" s="218"/>
      <c r="Q84" s="218"/>
      <c r="R84" s="218"/>
      <c r="S84" s="218"/>
      <c r="T84" s="218"/>
      <c r="U84" s="218"/>
      <c r="V84" s="218"/>
      <c r="W84" s="219"/>
      <c r="X84" s="219"/>
    </row>
    <row r="85" spans="1:24" s="220" customFormat="1" ht="15">
      <c r="A85" s="269" t="s">
        <v>572</v>
      </c>
      <c r="B85" s="290"/>
      <c r="C85" s="290"/>
      <c r="D85" s="273"/>
      <c r="E85" s="273"/>
      <c r="F85" s="217"/>
      <c r="G85" s="218"/>
      <c r="H85" s="218"/>
      <c r="I85" s="218"/>
      <c r="J85" s="218"/>
      <c r="K85" s="218"/>
      <c r="L85" s="218"/>
      <c r="M85" s="218"/>
      <c r="N85" s="218"/>
      <c r="O85" s="218"/>
      <c r="P85" s="218"/>
      <c r="Q85" s="218"/>
      <c r="R85" s="218"/>
      <c r="S85" s="218"/>
      <c r="T85" s="218"/>
      <c r="U85" s="218"/>
      <c r="V85" s="218"/>
      <c r="W85" s="219"/>
      <c r="X85" s="219"/>
    </row>
    <row r="86" spans="1:24" s="220" customFormat="1" ht="15">
      <c r="A86" s="269" t="s">
        <v>579</v>
      </c>
      <c r="B86" s="290"/>
      <c r="C86" s="290"/>
      <c r="D86" s="273"/>
      <c r="E86" s="273"/>
      <c r="F86" s="217"/>
      <c r="G86" s="218"/>
      <c r="H86" s="218"/>
      <c r="I86" s="218"/>
      <c r="J86" s="218"/>
      <c r="K86" s="218"/>
      <c r="L86" s="218"/>
      <c r="M86" s="218"/>
      <c r="N86" s="218"/>
      <c r="O86" s="218"/>
      <c r="P86" s="218"/>
      <c r="Q86" s="218"/>
      <c r="R86" s="218"/>
      <c r="S86" s="218"/>
      <c r="T86" s="218"/>
      <c r="U86" s="218"/>
      <c r="V86" s="218"/>
      <c r="W86" s="219"/>
      <c r="X86" s="219"/>
    </row>
    <row r="87" spans="1:24" s="220" customFormat="1" ht="15">
      <c r="A87" s="269" t="s">
        <v>580</v>
      </c>
      <c r="B87" s="290"/>
      <c r="C87" s="290"/>
      <c r="D87" s="273"/>
      <c r="E87" s="273"/>
      <c r="F87" s="217"/>
      <c r="G87" s="218"/>
      <c r="H87" s="218"/>
      <c r="I87" s="218"/>
      <c r="J87" s="218"/>
      <c r="K87" s="218"/>
      <c r="L87" s="218"/>
      <c r="M87" s="218"/>
      <c r="N87" s="218"/>
      <c r="O87" s="218"/>
      <c r="P87" s="218"/>
      <c r="Q87" s="218"/>
      <c r="R87" s="218"/>
      <c r="S87" s="218"/>
      <c r="T87" s="218"/>
      <c r="U87" s="218"/>
      <c r="V87" s="218"/>
      <c r="W87" s="219"/>
      <c r="X87" s="219"/>
    </row>
    <row r="88" spans="1:24" s="220" customFormat="1" ht="15">
      <c r="A88" s="269" t="s">
        <v>581</v>
      </c>
      <c r="B88" s="290"/>
      <c r="C88" s="290"/>
      <c r="D88" s="273"/>
      <c r="E88" s="273"/>
      <c r="F88" s="217"/>
      <c r="G88" s="218"/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218"/>
      <c r="U88" s="218"/>
      <c r="V88" s="218"/>
      <c r="W88" s="219"/>
      <c r="X88" s="219"/>
    </row>
    <row r="89" spans="1:24" s="220" customFormat="1" ht="15">
      <c r="A89" s="303" t="s">
        <v>487</v>
      </c>
      <c r="B89" s="290"/>
      <c r="C89" s="290"/>
      <c r="D89" s="273"/>
      <c r="E89" s="273"/>
      <c r="F89" s="217"/>
      <c r="G89" s="218"/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218"/>
      <c r="U89" s="218"/>
      <c r="V89" s="218"/>
      <c r="W89" s="219"/>
      <c r="X89" s="219"/>
    </row>
    <row r="90" spans="1:24" s="220" customFormat="1" ht="15">
      <c r="A90" s="269" t="s">
        <v>819</v>
      </c>
      <c r="B90" s="290"/>
      <c r="C90" s="290"/>
      <c r="D90" s="273"/>
      <c r="E90" s="273"/>
      <c r="F90" s="217"/>
      <c r="G90" s="218"/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218"/>
      <c r="U90" s="218"/>
      <c r="V90" s="218"/>
      <c r="W90" s="219"/>
      <c r="X90" s="219"/>
    </row>
    <row r="91" spans="1:24" s="220" customFormat="1" ht="15">
      <c r="A91" s="269" t="s">
        <v>582</v>
      </c>
      <c r="B91" s="290"/>
      <c r="C91" s="290"/>
      <c r="D91" s="273"/>
      <c r="E91" s="273"/>
      <c r="F91" s="217"/>
      <c r="G91" s="218"/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218"/>
      <c r="U91" s="218"/>
      <c r="V91" s="218"/>
      <c r="W91" s="219"/>
      <c r="X91" s="219"/>
    </row>
    <row r="92" spans="1:24" s="220" customFormat="1" ht="15">
      <c r="A92" s="269" t="s">
        <v>583</v>
      </c>
      <c r="B92" s="290"/>
      <c r="C92" s="290"/>
      <c r="D92" s="273"/>
      <c r="E92" s="273"/>
      <c r="F92" s="217"/>
      <c r="G92" s="218"/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218"/>
      <c r="U92" s="218"/>
      <c r="V92" s="218"/>
      <c r="W92" s="219"/>
      <c r="X92" s="219"/>
    </row>
    <row r="93" spans="1:24" s="220" customFormat="1" ht="15">
      <c r="A93" s="269" t="s">
        <v>584</v>
      </c>
      <c r="B93" s="290"/>
      <c r="C93" s="290"/>
      <c r="D93" s="273"/>
      <c r="E93" s="273"/>
      <c r="F93" s="217"/>
      <c r="G93" s="218"/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218"/>
      <c r="U93" s="218"/>
      <c r="V93" s="218"/>
      <c r="W93" s="219"/>
      <c r="X93" s="219"/>
    </row>
    <row r="94" spans="1:24" s="220" customFormat="1" ht="15">
      <c r="A94" s="269" t="s">
        <v>72</v>
      </c>
      <c r="B94" s="290"/>
      <c r="C94" s="290"/>
      <c r="D94" s="273"/>
      <c r="E94" s="273"/>
      <c r="F94" s="217"/>
      <c r="G94" s="218"/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218"/>
      <c r="U94" s="218"/>
      <c r="V94" s="218"/>
      <c r="W94" s="219"/>
      <c r="X94" s="219"/>
    </row>
    <row r="95" spans="1:24" s="220" customFormat="1" ht="15">
      <c r="A95" s="269" t="s">
        <v>71</v>
      </c>
      <c r="B95" s="290"/>
      <c r="C95" s="290"/>
      <c r="D95" s="273"/>
      <c r="E95" s="273"/>
      <c r="F95" s="217"/>
      <c r="G95" s="218"/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218"/>
      <c r="U95" s="218"/>
      <c r="V95" s="218"/>
      <c r="W95" s="219"/>
      <c r="X95" s="219"/>
    </row>
    <row r="96" spans="1:24" s="220" customFormat="1" ht="15">
      <c r="A96" s="269" t="s">
        <v>586</v>
      </c>
      <c r="B96" s="290"/>
      <c r="C96" s="290"/>
      <c r="D96" s="273"/>
      <c r="E96" s="273"/>
      <c r="F96" s="217"/>
      <c r="G96" s="218"/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218"/>
      <c r="U96" s="218"/>
      <c r="V96" s="218"/>
      <c r="W96" s="219"/>
      <c r="X96" s="219"/>
    </row>
    <row r="97" spans="1:24" s="220" customFormat="1" ht="15">
      <c r="A97" s="269" t="s">
        <v>587</v>
      </c>
      <c r="B97" s="290"/>
      <c r="C97" s="290"/>
      <c r="D97" s="273"/>
      <c r="E97" s="273"/>
      <c r="F97" s="217"/>
      <c r="G97" s="218"/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218"/>
      <c r="U97" s="218"/>
      <c r="V97" s="218"/>
      <c r="W97" s="219"/>
      <c r="X97" s="219"/>
    </row>
    <row r="98" spans="1:24" s="220" customFormat="1" ht="15">
      <c r="A98" s="269" t="s">
        <v>588</v>
      </c>
      <c r="B98" s="290"/>
      <c r="C98" s="290"/>
      <c r="D98" s="273"/>
      <c r="E98" s="273"/>
      <c r="F98" s="217"/>
      <c r="G98" s="218"/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218"/>
      <c r="U98" s="218"/>
      <c r="V98" s="218"/>
      <c r="W98" s="219"/>
      <c r="X98" s="219"/>
    </row>
    <row r="99" spans="1:24" s="220" customFormat="1" ht="15">
      <c r="A99" s="269" t="s">
        <v>589</v>
      </c>
      <c r="B99" s="290"/>
      <c r="C99" s="290"/>
      <c r="D99" s="273"/>
      <c r="E99" s="273"/>
      <c r="F99" s="217"/>
      <c r="G99" s="218"/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218"/>
      <c r="U99" s="218"/>
      <c r="V99" s="218"/>
      <c r="W99" s="219"/>
      <c r="X99" s="219"/>
    </row>
    <row r="100" spans="1:24" s="220" customFormat="1" ht="15">
      <c r="A100" s="269" t="s">
        <v>74</v>
      </c>
      <c r="B100" s="290"/>
      <c r="C100" s="290"/>
      <c r="D100" s="273"/>
      <c r="E100" s="273"/>
      <c r="F100" s="217"/>
      <c r="G100" s="218"/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218"/>
      <c r="U100" s="218"/>
      <c r="V100" s="218"/>
      <c r="W100" s="219"/>
      <c r="X100" s="219"/>
    </row>
    <row r="101" spans="1:24" s="220" customFormat="1" ht="15">
      <c r="A101" s="269" t="s">
        <v>73</v>
      </c>
      <c r="B101" s="290"/>
      <c r="C101" s="290"/>
      <c r="D101" s="273"/>
      <c r="E101" s="273"/>
      <c r="F101" s="217"/>
      <c r="G101" s="218"/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218"/>
      <c r="U101" s="218"/>
      <c r="V101" s="218"/>
      <c r="W101" s="219"/>
      <c r="X101" s="219"/>
    </row>
    <row r="102" spans="1:24" s="220" customFormat="1" ht="15">
      <c r="A102" s="269" t="s">
        <v>798</v>
      </c>
      <c r="B102" s="290"/>
      <c r="C102" s="290"/>
      <c r="D102" s="273"/>
      <c r="E102" s="273"/>
      <c r="F102" s="217"/>
      <c r="G102" s="218"/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218"/>
      <c r="U102" s="218"/>
      <c r="V102" s="218"/>
      <c r="W102" s="219"/>
      <c r="X102" s="219"/>
    </row>
    <row r="103" spans="1:24" s="220" customFormat="1" ht="15">
      <c r="A103" s="301" t="s">
        <v>590</v>
      </c>
      <c r="B103" s="290"/>
      <c r="C103" s="290"/>
      <c r="D103" s="273"/>
      <c r="E103" s="273"/>
      <c r="F103" s="217"/>
      <c r="G103" s="218"/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218"/>
      <c r="U103" s="218"/>
      <c r="V103" s="218"/>
      <c r="W103" s="219"/>
      <c r="X103" s="219"/>
    </row>
    <row r="104" spans="1:24" s="220" customFormat="1" ht="15">
      <c r="A104" s="301" t="s">
        <v>803</v>
      </c>
      <c r="B104" s="290"/>
      <c r="C104" s="290"/>
      <c r="D104" s="273"/>
      <c r="E104" s="273"/>
      <c r="F104" s="217"/>
      <c r="G104" s="218"/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218"/>
      <c r="U104" s="218"/>
      <c r="V104" s="218"/>
      <c r="W104" s="219"/>
      <c r="X104" s="219"/>
    </row>
    <row r="105" spans="1:24" s="220" customFormat="1" ht="15">
      <c r="A105" s="304" t="s">
        <v>804</v>
      </c>
      <c r="B105" s="290"/>
      <c r="C105" s="290"/>
      <c r="D105" s="273"/>
      <c r="E105" s="273"/>
      <c r="F105" s="217"/>
      <c r="G105" s="218"/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218"/>
      <c r="U105" s="218"/>
      <c r="V105" s="218"/>
      <c r="W105" s="219"/>
      <c r="X105" s="219"/>
    </row>
    <row r="106" spans="1:255" s="234" customFormat="1" ht="14.25">
      <c r="A106" s="289" t="s">
        <v>770</v>
      </c>
      <c r="B106" s="290"/>
      <c r="C106" s="290"/>
      <c r="D106" s="273"/>
      <c r="E106" s="273"/>
      <c r="F106" s="230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2"/>
      <c r="X106" s="232"/>
      <c r="Y106" s="233"/>
      <c r="Z106" s="233"/>
      <c r="AA106" s="233"/>
      <c r="AB106" s="233"/>
      <c r="AC106" s="233"/>
      <c r="AD106" s="233"/>
      <c r="AE106" s="233"/>
      <c r="AF106" s="233"/>
      <c r="AG106" s="233"/>
      <c r="AH106" s="233"/>
      <c r="AI106" s="233"/>
      <c r="AJ106" s="233"/>
      <c r="AK106" s="233"/>
      <c r="AL106" s="233"/>
      <c r="AM106" s="233"/>
      <c r="AN106" s="233"/>
      <c r="AO106" s="233"/>
      <c r="AP106" s="233"/>
      <c r="AQ106" s="233"/>
      <c r="AR106" s="233"/>
      <c r="AS106" s="233"/>
      <c r="AT106" s="233"/>
      <c r="AU106" s="233"/>
      <c r="AV106" s="233"/>
      <c r="AW106" s="233"/>
      <c r="AX106" s="233"/>
      <c r="AY106" s="233"/>
      <c r="AZ106" s="233"/>
      <c r="BA106" s="233"/>
      <c r="BB106" s="233"/>
      <c r="BC106" s="233"/>
      <c r="BD106" s="233"/>
      <c r="BE106" s="233"/>
      <c r="BF106" s="233"/>
      <c r="BG106" s="233"/>
      <c r="BH106" s="233"/>
      <c r="BI106" s="233"/>
      <c r="BJ106" s="233"/>
      <c r="BK106" s="233"/>
      <c r="BL106" s="233"/>
      <c r="BM106" s="233"/>
      <c r="BN106" s="233"/>
      <c r="BO106" s="233"/>
      <c r="BP106" s="233"/>
      <c r="BQ106" s="233"/>
      <c r="BR106" s="233"/>
      <c r="BS106" s="233"/>
      <c r="BT106" s="233"/>
      <c r="BU106" s="233"/>
      <c r="BV106" s="233"/>
      <c r="BW106" s="233"/>
      <c r="BX106" s="233"/>
      <c r="BY106" s="233"/>
      <c r="BZ106" s="233"/>
      <c r="CA106" s="233"/>
      <c r="CB106" s="233"/>
      <c r="CC106" s="233"/>
      <c r="CD106" s="233"/>
      <c r="CE106" s="233"/>
      <c r="CF106" s="233"/>
      <c r="CG106" s="233"/>
      <c r="CH106" s="233"/>
      <c r="CI106" s="233"/>
      <c r="CJ106" s="233"/>
      <c r="CK106" s="233"/>
      <c r="CL106" s="233"/>
      <c r="CM106" s="233"/>
      <c r="CN106" s="233"/>
      <c r="CO106" s="233"/>
      <c r="CP106" s="233"/>
      <c r="CQ106" s="233"/>
      <c r="CR106" s="233"/>
      <c r="CS106" s="233"/>
      <c r="CT106" s="233"/>
      <c r="CU106" s="233"/>
      <c r="CV106" s="233"/>
      <c r="CW106" s="233"/>
      <c r="CX106" s="233"/>
      <c r="CY106" s="233"/>
      <c r="CZ106" s="233"/>
      <c r="DA106" s="233"/>
      <c r="DB106" s="233"/>
      <c r="DC106" s="233"/>
      <c r="DD106" s="233"/>
      <c r="DE106" s="233"/>
      <c r="DF106" s="233"/>
      <c r="DG106" s="233"/>
      <c r="DH106" s="233"/>
      <c r="DI106" s="233"/>
      <c r="DJ106" s="233"/>
      <c r="DK106" s="233"/>
      <c r="DL106" s="233"/>
      <c r="DM106" s="233"/>
      <c r="DN106" s="233"/>
      <c r="DO106" s="233"/>
      <c r="DP106" s="233"/>
      <c r="DQ106" s="233"/>
      <c r="DR106" s="233"/>
      <c r="DS106" s="233"/>
      <c r="DT106" s="233"/>
      <c r="DU106" s="233"/>
      <c r="DV106" s="233"/>
      <c r="DW106" s="233"/>
      <c r="DX106" s="233"/>
      <c r="DY106" s="233"/>
      <c r="DZ106" s="233"/>
      <c r="EA106" s="233"/>
      <c r="EB106" s="233"/>
      <c r="EC106" s="233"/>
      <c r="ED106" s="233"/>
      <c r="EE106" s="233"/>
      <c r="EF106" s="233"/>
      <c r="EG106" s="233"/>
      <c r="EH106" s="233"/>
      <c r="EI106" s="233"/>
      <c r="EJ106" s="233"/>
      <c r="EK106" s="233"/>
      <c r="EL106" s="233"/>
      <c r="EM106" s="233"/>
      <c r="EN106" s="233"/>
      <c r="EO106" s="233"/>
      <c r="EP106" s="233"/>
      <c r="EQ106" s="233"/>
      <c r="ER106" s="233"/>
      <c r="ES106" s="233"/>
      <c r="ET106" s="233"/>
      <c r="EU106" s="233"/>
      <c r="EV106" s="233"/>
      <c r="EW106" s="233"/>
      <c r="EX106" s="233"/>
      <c r="EY106" s="233"/>
      <c r="EZ106" s="233"/>
      <c r="FA106" s="233"/>
      <c r="FB106" s="233"/>
      <c r="FC106" s="233"/>
      <c r="FD106" s="233"/>
      <c r="FE106" s="233"/>
      <c r="FF106" s="233"/>
      <c r="FG106" s="233"/>
      <c r="FH106" s="233"/>
      <c r="FI106" s="233"/>
      <c r="FJ106" s="233"/>
      <c r="FK106" s="233"/>
      <c r="FL106" s="233"/>
      <c r="FM106" s="233"/>
      <c r="FN106" s="233"/>
      <c r="FO106" s="233"/>
      <c r="FP106" s="233"/>
      <c r="FQ106" s="233"/>
      <c r="FR106" s="233"/>
      <c r="FS106" s="233"/>
      <c r="FT106" s="233"/>
      <c r="FU106" s="233"/>
      <c r="FV106" s="233"/>
      <c r="FW106" s="233"/>
      <c r="FX106" s="233"/>
      <c r="FY106" s="233"/>
      <c r="FZ106" s="233"/>
      <c r="GA106" s="233"/>
      <c r="GB106" s="233"/>
      <c r="GC106" s="233"/>
      <c r="GD106" s="233"/>
      <c r="GE106" s="233"/>
      <c r="GF106" s="233"/>
      <c r="GG106" s="233"/>
      <c r="GH106" s="233"/>
      <c r="GI106" s="233"/>
      <c r="GJ106" s="233"/>
      <c r="GK106" s="233"/>
      <c r="GL106" s="233"/>
      <c r="GM106" s="233"/>
      <c r="GN106" s="233"/>
      <c r="GO106" s="233"/>
      <c r="GP106" s="233"/>
      <c r="GQ106" s="233"/>
      <c r="GR106" s="233"/>
      <c r="GS106" s="233"/>
      <c r="GT106" s="233"/>
      <c r="GU106" s="233"/>
      <c r="GV106" s="233"/>
      <c r="GW106" s="233"/>
      <c r="GX106" s="233"/>
      <c r="GY106" s="233"/>
      <c r="GZ106" s="233"/>
      <c r="HA106" s="233"/>
      <c r="HB106" s="233"/>
      <c r="HC106" s="233"/>
      <c r="HD106" s="233"/>
      <c r="HE106" s="233"/>
      <c r="HF106" s="233"/>
      <c r="HG106" s="233"/>
      <c r="HH106" s="233"/>
      <c r="HI106" s="233"/>
      <c r="HJ106" s="233"/>
      <c r="HK106" s="233"/>
      <c r="HL106" s="233"/>
      <c r="HM106" s="233"/>
      <c r="HN106" s="233"/>
      <c r="HO106" s="233"/>
      <c r="HP106" s="233"/>
      <c r="HQ106" s="233"/>
      <c r="HR106" s="233"/>
      <c r="HS106" s="233"/>
      <c r="HT106" s="233"/>
      <c r="HU106" s="233"/>
      <c r="HV106" s="233"/>
      <c r="HW106" s="233"/>
      <c r="HX106" s="233"/>
      <c r="HY106" s="233"/>
      <c r="HZ106" s="233"/>
      <c r="IA106" s="233"/>
      <c r="IB106" s="233"/>
      <c r="IC106" s="233"/>
      <c r="ID106" s="233"/>
      <c r="IE106" s="233"/>
      <c r="IF106" s="233"/>
      <c r="IG106" s="233"/>
      <c r="IH106" s="233"/>
      <c r="II106" s="233"/>
      <c r="IJ106" s="233"/>
      <c r="IK106" s="233"/>
      <c r="IL106" s="233"/>
      <c r="IM106" s="233"/>
      <c r="IN106" s="233"/>
      <c r="IO106" s="233"/>
      <c r="IP106" s="233"/>
      <c r="IQ106" s="233"/>
      <c r="IR106" s="233"/>
      <c r="IS106" s="233"/>
      <c r="IT106" s="233"/>
      <c r="IU106" s="233"/>
    </row>
    <row r="107" spans="1:24" s="220" customFormat="1" ht="15" customHeight="1">
      <c r="A107" s="301" t="s">
        <v>517</v>
      </c>
      <c r="B107" s="290"/>
      <c r="C107" s="290"/>
      <c r="D107" s="273"/>
      <c r="E107" s="273"/>
      <c r="F107" s="217"/>
      <c r="G107" s="218"/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218"/>
      <c r="U107" s="218"/>
      <c r="V107" s="218"/>
      <c r="W107" s="219"/>
      <c r="X107" s="219"/>
    </row>
    <row r="108" spans="1:24" s="220" customFormat="1" ht="25.5">
      <c r="A108" s="302" t="s">
        <v>608</v>
      </c>
      <c r="B108" s="290"/>
      <c r="C108" s="290"/>
      <c r="D108" s="273"/>
      <c r="E108" s="273"/>
      <c r="F108" s="217"/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218"/>
      <c r="U108" s="218"/>
      <c r="V108" s="218"/>
      <c r="W108" s="219"/>
      <c r="X108" s="219"/>
    </row>
    <row r="109" spans="1:24" s="220" customFormat="1" ht="12" customHeight="1">
      <c r="A109" s="301"/>
      <c r="B109" s="290"/>
      <c r="C109" s="290"/>
      <c r="D109" s="273"/>
      <c r="E109" s="273"/>
      <c r="F109" s="217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218"/>
      <c r="U109" s="218"/>
      <c r="V109" s="218"/>
      <c r="W109" s="219"/>
      <c r="X109" s="219"/>
    </row>
    <row r="110" spans="1:24" s="220" customFormat="1" ht="15">
      <c r="A110" s="305" t="s">
        <v>603</v>
      </c>
      <c r="B110" s="290"/>
      <c r="C110" s="290"/>
      <c r="D110" s="273"/>
      <c r="E110" s="273"/>
      <c r="F110" s="217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218"/>
      <c r="U110" s="218"/>
      <c r="V110" s="218"/>
      <c r="W110" s="219"/>
      <c r="X110" s="219"/>
    </row>
    <row r="111" spans="1:24" s="220" customFormat="1" ht="15" customHeight="1">
      <c r="A111" s="301" t="s">
        <v>116</v>
      </c>
      <c r="B111" s="290"/>
      <c r="C111" s="290"/>
      <c r="D111" s="273"/>
      <c r="E111" s="273"/>
      <c r="F111" s="217"/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218"/>
      <c r="U111" s="218"/>
      <c r="V111" s="218"/>
      <c r="W111" s="219"/>
      <c r="X111" s="219"/>
    </row>
    <row r="112" spans="1:24" s="220" customFormat="1" ht="15" customHeight="1">
      <c r="A112" s="301" t="s">
        <v>592</v>
      </c>
      <c r="B112" s="290"/>
      <c r="C112" s="290"/>
      <c r="D112" s="273"/>
      <c r="E112" s="273"/>
      <c r="F112" s="217"/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218"/>
      <c r="U112" s="218"/>
      <c r="V112" s="218"/>
      <c r="W112" s="219"/>
      <c r="X112" s="219"/>
    </row>
    <row r="113" spans="1:24" s="220" customFormat="1" ht="15" customHeight="1">
      <c r="A113" s="301" t="s">
        <v>593</v>
      </c>
      <c r="B113" s="290"/>
      <c r="C113" s="290"/>
      <c r="D113" s="273"/>
      <c r="E113" s="273"/>
      <c r="F113" s="217"/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218"/>
      <c r="U113" s="218"/>
      <c r="V113" s="218"/>
      <c r="W113" s="219"/>
      <c r="X113" s="219"/>
    </row>
    <row r="114" spans="1:24" s="220" customFormat="1" ht="15" customHeight="1">
      <c r="A114" s="301" t="s">
        <v>594</v>
      </c>
      <c r="B114" s="290"/>
      <c r="C114" s="290"/>
      <c r="D114" s="273"/>
      <c r="E114" s="273"/>
      <c r="F114" s="217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218"/>
      <c r="U114" s="218"/>
      <c r="V114" s="218"/>
      <c r="W114" s="219"/>
      <c r="X114" s="219"/>
    </row>
    <row r="115" spans="1:24" s="220" customFormat="1" ht="15" customHeight="1">
      <c r="A115" s="301" t="s">
        <v>595</v>
      </c>
      <c r="B115" s="290"/>
      <c r="C115" s="290"/>
      <c r="D115" s="273"/>
      <c r="E115" s="273"/>
      <c r="F115" s="217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218"/>
      <c r="U115" s="218"/>
      <c r="V115" s="218"/>
      <c r="W115" s="219"/>
      <c r="X115" s="219"/>
    </row>
    <row r="116" spans="1:24" s="220" customFormat="1" ht="15" customHeight="1">
      <c r="A116" s="301" t="s">
        <v>596</v>
      </c>
      <c r="B116" s="290"/>
      <c r="C116" s="290"/>
      <c r="D116" s="273"/>
      <c r="E116" s="273"/>
      <c r="F116" s="217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218"/>
      <c r="U116" s="218"/>
      <c r="V116" s="218"/>
      <c r="W116" s="219"/>
      <c r="X116" s="219"/>
    </row>
    <row r="117" spans="1:24" s="220" customFormat="1" ht="15" customHeight="1">
      <c r="A117" s="301" t="s">
        <v>597</v>
      </c>
      <c r="B117" s="290"/>
      <c r="C117" s="290"/>
      <c r="D117" s="273"/>
      <c r="E117" s="273"/>
      <c r="F117" s="217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218"/>
      <c r="U117" s="218"/>
      <c r="V117" s="218"/>
      <c r="W117" s="219"/>
      <c r="X117" s="219"/>
    </row>
    <row r="118" spans="1:24" s="220" customFormat="1" ht="15" customHeight="1">
      <c r="A118" s="301" t="s">
        <v>598</v>
      </c>
      <c r="B118" s="290"/>
      <c r="C118" s="290"/>
      <c r="D118" s="273"/>
      <c r="E118" s="273"/>
      <c r="F118" s="217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218"/>
      <c r="U118" s="218"/>
      <c r="V118" s="218"/>
      <c r="W118" s="219"/>
      <c r="X118" s="219"/>
    </row>
    <row r="119" spans="1:24" s="220" customFormat="1" ht="15" customHeight="1">
      <c r="A119" s="301" t="s">
        <v>599</v>
      </c>
      <c r="B119" s="290"/>
      <c r="C119" s="290"/>
      <c r="D119" s="273"/>
      <c r="E119" s="273"/>
      <c r="F119" s="217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218"/>
      <c r="U119" s="218"/>
      <c r="V119" s="218"/>
      <c r="W119" s="219"/>
      <c r="X119" s="219"/>
    </row>
    <row r="120" spans="1:24" s="220" customFormat="1" ht="15" customHeight="1">
      <c r="A120" s="301" t="s">
        <v>600</v>
      </c>
      <c r="B120" s="290"/>
      <c r="C120" s="290"/>
      <c r="D120" s="273"/>
      <c r="E120" s="273"/>
      <c r="F120" s="217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218"/>
      <c r="U120" s="218"/>
      <c r="V120" s="218"/>
      <c r="W120" s="219"/>
      <c r="X120" s="219"/>
    </row>
    <row r="121" spans="1:24" s="220" customFormat="1" ht="15" customHeight="1">
      <c r="A121" s="301" t="s">
        <v>421</v>
      </c>
      <c r="B121" s="290"/>
      <c r="C121" s="290"/>
      <c r="D121" s="273"/>
      <c r="E121" s="273"/>
      <c r="F121" s="217"/>
      <c r="G121" s="218"/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218"/>
      <c r="U121" s="218"/>
      <c r="V121" s="218"/>
      <c r="W121" s="219"/>
      <c r="X121" s="219"/>
    </row>
    <row r="122" spans="1:24" s="220" customFormat="1" ht="15">
      <c r="A122" s="305" t="s">
        <v>735</v>
      </c>
      <c r="B122" s="290"/>
      <c r="C122" s="290"/>
      <c r="D122" s="273"/>
      <c r="E122" s="273"/>
      <c r="F122" s="217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218"/>
      <c r="U122" s="218"/>
      <c r="V122" s="218"/>
      <c r="W122" s="219"/>
      <c r="X122" s="219"/>
    </row>
    <row r="123" spans="1:24" s="220" customFormat="1" ht="15">
      <c r="A123" s="305" t="s">
        <v>604</v>
      </c>
      <c r="B123" s="290"/>
      <c r="C123" s="290"/>
      <c r="D123" s="273"/>
      <c r="E123" s="273"/>
      <c r="F123" s="217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218"/>
      <c r="U123" s="218"/>
      <c r="V123" s="218"/>
      <c r="W123" s="219"/>
      <c r="X123" s="219"/>
    </row>
    <row r="124" spans="1:24" s="220" customFormat="1" ht="15" customHeight="1">
      <c r="A124" s="301" t="s">
        <v>601</v>
      </c>
      <c r="B124" s="290"/>
      <c r="C124" s="290"/>
      <c r="D124" s="273"/>
      <c r="E124" s="273"/>
      <c r="F124" s="217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218"/>
      <c r="U124" s="218"/>
      <c r="V124" s="218"/>
      <c r="W124" s="219"/>
      <c r="X124" s="219"/>
    </row>
    <row r="125" spans="1:24" s="220" customFormat="1" ht="15">
      <c r="A125" s="306" t="s">
        <v>614</v>
      </c>
      <c r="B125" s="290"/>
      <c r="C125" s="290"/>
      <c r="D125" s="273"/>
      <c r="E125" s="273"/>
      <c r="F125" s="217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218"/>
      <c r="U125" s="218"/>
      <c r="V125" s="218"/>
      <c r="W125" s="219"/>
      <c r="X125" s="219"/>
    </row>
    <row r="126" spans="1:24" s="220" customFormat="1" ht="15" customHeight="1">
      <c r="A126" s="301" t="s">
        <v>602</v>
      </c>
      <c r="B126" s="290"/>
      <c r="C126" s="290"/>
      <c r="D126" s="273"/>
      <c r="E126" s="273"/>
      <c r="F126" s="217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218"/>
      <c r="U126" s="218"/>
      <c r="V126" s="218"/>
      <c r="W126" s="219"/>
      <c r="X126" s="219"/>
    </row>
    <row r="127" spans="1:24" s="220" customFormat="1" ht="15" customHeight="1">
      <c r="A127" s="301" t="s">
        <v>605</v>
      </c>
      <c r="B127" s="290"/>
      <c r="C127" s="290"/>
      <c r="D127" s="273"/>
      <c r="E127" s="273"/>
      <c r="F127" s="217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218"/>
      <c r="U127" s="218"/>
      <c r="V127" s="218"/>
      <c r="W127" s="219"/>
      <c r="X127" s="219"/>
    </row>
    <row r="128" spans="1:24" s="220" customFormat="1" ht="15" customHeight="1">
      <c r="A128" s="301" t="s">
        <v>574</v>
      </c>
      <c r="B128" s="290"/>
      <c r="C128" s="290"/>
      <c r="D128" s="273"/>
      <c r="E128" s="273"/>
      <c r="F128" s="217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218"/>
      <c r="U128" s="218"/>
      <c r="V128" s="218"/>
      <c r="W128" s="219"/>
      <c r="X128" s="219"/>
    </row>
    <row r="129" spans="1:24" s="220" customFormat="1" ht="15" customHeight="1">
      <c r="A129" s="301" t="s">
        <v>575</v>
      </c>
      <c r="B129" s="290"/>
      <c r="C129" s="290"/>
      <c r="D129" s="273"/>
      <c r="E129" s="273"/>
      <c r="F129" s="217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218"/>
      <c r="U129" s="218"/>
      <c r="V129" s="218"/>
      <c r="W129" s="219"/>
      <c r="X129" s="219"/>
    </row>
    <row r="130" spans="1:24" s="220" customFormat="1" ht="15">
      <c r="A130" s="306" t="s">
        <v>607</v>
      </c>
      <c r="B130" s="290"/>
      <c r="C130" s="290"/>
      <c r="D130" s="273"/>
      <c r="E130" s="273"/>
      <c r="F130" s="217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218"/>
      <c r="U130" s="218"/>
      <c r="V130" s="218"/>
      <c r="W130" s="219"/>
      <c r="X130" s="219"/>
    </row>
    <row r="131" spans="1:24" s="220" customFormat="1" ht="15">
      <c r="A131" s="306" t="s">
        <v>776</v>
      </c>
      <c r="B131" s="290"/>
      <c r="C131" s="290"/>
      <c r="D131" s="273"/>
      <c r="E131" s="273"/>
      <c r="F131" s="217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218"/>
      <c r="U131" s="218"/>
      <c r="V131" s="218"/>
      <c r="W131" s="219"/>
      <c r="X131" s="219"/>
    </row>
    <row r="132" spans="1:24" s="247" customFormat="1" ht="12.75">
      <c r="A132" s="304" t="s">
        <v>576</v>
      </c>
      <c r="B132" s="290"/>
      <c r="C132" s="290"/>
      <c r="D132" s="273"/>
      <c r="E132" s="273"/>
      <c r="F132" s="245"/>
      <c r="G132" s="222"/>
      <c r="H132" s="222"/>
      <c r="I132" s="222"/>
      <c r="J132" s="222"/>
      <c r="K132" s="222"/>
      <c r="L132" s="222"/>
      <c r="M132" s="222"/>
      <c r="N132" s="222"/>
      <c r="O132" s="222"/>
      <c r="P132" s="222"/>
      <c r="Q132" s="222"/>
      <c r="R132" s="222"/>
      <c r="S132" s="222"/>
      <c r="T132" s="222"/>
      <c r="U132" s="222"/>
      <c r="V132" s="222"/>
      <c r="W132" s="246"/>
      <c r="X132" s="246"/>
    </row>
    <row r="133" spans="1:24" s="247" customFormat="1" ht="12.75">
      <c r="A133" s="304" t="s">
        <v>577</v>
      </c>
      <c r="B133" s="290"/>
      <c r="C133" s="290"/>
      <c r="D133" s="273"/>
      <c r="E133" s="273"/>
      <c r="F133" s="245"/>
      <c r="G133" s="222"/>
      <c r="H133" s="222"/>
      <c r="I133" s="222"/>
      <c r="J133" s="222"/>
      <c r="K133" s="222"/>
      <c r="L133" s="222"/>
      <c r="M133" s="222"/>
      <c r="N133" s="222"/>
      <c r="O133" s="222"/>
      <c r="P133" s="222"/>
      <c r="Q133" s="222"/>
      <c r="R133" s="222"/>
      <c r="S133" s="222"/>
      <c r="T133" s="222"/>
      <c r="U133" s="222"/>
      <c r="V133" s="222"/>
      <c r="W133" s="246"/>
      <c r="X133" s="246"/>
    </row>
    <row r="134" spans="1:24" s="220" customFormat="1" ht="15">
      <c r="A134" s="305" t="s">
        <v>606</v>
      </c>
      <c r="B134" s="290"/>
      <c r="C134" s="290"/>
      <c r="D134" s="273"/>
      <c r="E134" s="273"/>
      <c r="F134" s="217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218"/>
      <c r="U134" s="218"/>
      <c r="V134" s="218"/>
      <c r="W134" s="219"/>
      <c r="X134" s="219"/>
    </row>
    <row r="135" spans="1:24" s="247" customFormat="1" ht="12.75">
      <c r="A135" s="269" t="s">
        <v>424</v>
      </c>
      <c r="B135" s="290"/>
      <c r="C135" s="290"/>
      <c r="D135" s="273"/>
      <c r="E135" s="273"/>
      <c r="F135" s="245"/>
      <c r="G135" s="222"/>
      <c r="H135" s="222"/>
      <c r="I135" s="222"/>
      <c r="J135" s="222"/>
      <c r="K135" s="222"/>
      <c r="L135" s="222"/>
      <c r="M135" s="222"/>
      <c r="N135" s="222"/>
      <c r="O135" s="222"/>
      <c r="P135" s="222"/>
      <c r="Q135" s="222"/>
      <c r="R135" s="222"/>
      <c r="S135" s="222"/>
      <c r="T135" s="222"/>
      <c r="U135" s="222"/>
      <c r="V135" s="222"/>
      <c r="W135" s="246"/>
      <c r="X135" s="246"/>
    </row>
    <row r="136" spans="1:24" s="247" customFormat="1" ht="12.75">
      <c r="A136" s="269" t="s">
        <v>423</v>
      </c>
      <c r="B136" s="290"/>
      <c r="C136" s="290"/>
      <c r="D136" s="273"/>
      <c r="E136" s="273"/>
      <c r="F136" s="245"/>
      <c r="G136" s="222"/>
      <c r="H136" s="222"/>
      <c r="I136" s="222"/>
      <c r="J136" s="222"/>
      <c r="K136" s="222"/>
      <c r="L136" s="222"/>
      <c r="M136" s="222"/>
      <c r="N136" s="222"/>
      <c r="O136" s="222"/>
      <c r="P136" s="222"/>
      <c r="Q136" s="222"/>
      <c r="R136" s="222"/>
      <c r="S136" s="222"/>
      <c r="T136" s="222"/>
      <c r="U136" s="222"/>
      <c r="V136" s="222"/>
      <c r="W136" s="246"/>
      <c r="X136" s="246"/>
    </row>
    <row r="137" spans="1:24" s="247" customFormat="1" ht="12.75">
      <c r="A137" s="305" t="s">
        <v>609</v>
      </c>
      <c r="B137" s="290"/>
      <c r="C137" s="290"/>
      <c r="D137" s="273"/>
      <c r="E137" s="273"/>
      <c r="F137" s="245"/>
      <c r="G137" s="222"/>
      <c r="H137" s="222"/>
      <c r="I137" s="222"/>
      <c r="J137" s="222"/>
      <c r="K137" s="222"/>
      <c r="L137" s="222"/>
      <c r="M137" s="222"/>
      <c r="N137" s="222"/>
      <c r="O137" s="222"/>
      <c r="P137" s="222"/>
      <c r="Q137" s="222"/>
      <c r="R137" s="222"/>
      <c r="S137" s="222"/>
      <c r="T137" s="222"/>
      <c r="U137" s="222"/>
      <c r="V137" s="222"/>
      <c r="W137" s="246"/>
      <c r="X137" s="246"/>
    </row>
    <row r="138" spans="1:24" s="220" customFormat="1" ht="15">
      <c r="A138" s="305" t="s">
        <v>610</v>
      </c>
      <c r="B138" s="290"/>
      <c r="C138" s="290"/>
      <c r="D138" s="273"/>
      <c r="E138" s="273"/>
      <c r="F138" s="217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218"/>
      <c r="U138" s="218"/>
      <c r="V138" s="218"/>
      <c r="W138" s="219"/>
      <c r="X138" s="219"/>
    </row>
    <row r="139" spans="1:24" s="220" customFormat="1" ht="15">
      <c r="A139" s="305" t="s">
        <v>611</v>
      </c>
      <c r="B139" s="290"/>
      <c r="C139" s="290"/>
      <c r="D139" s="273"/>
      <c r="E139" s="273"/>
      <c r="F139" s="217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218"/>
      <c r="U139" s="218"/>
      <c r="V139" s="218"/>
      <c r="W139" s="219"/>
      <c r="X139" s="219"/>
    </row>
    <row r="140" spans="1:24" s="220" customFormat="1" ht="15">
      <c r="A140" s="305" t="s">
        <v>612</v>
      </c>
      <c r="B140" s="290"/>
      <c r="C140" s="290"/>
      <c r="D140" s="273"/>
      <c r="E140" s="273"/>
      <c r="F140" s="217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218"/>
      <c r="U140" s="218"/>
      <c r="V140" s="218"/>
      <c r="W140" s="219"/>
      <c r="X140" s="219"/>
    </row>
    <row r="141" spans="1:24" s="220" customFormat="1" ht="15">
      <c r="A141" s="305" t="s">
        <v>613</v>
      </c>
      <c r="B141" s="290"/>
      <c r="C141" s="290"/>
      <c r="D141" s="273"/>
      <c r="E141" s="273"/>
      <c r="F141" s="217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218"/>
      <c r="U141" s="218"/>
      <c r="V141" s="218"/>
      <c r="W141" s="219"/>
      <c r="X141" s="219"/>
    </row>
    <row r="142" spans="1:24" s="220" customFormat="1" ht="29.25" customHeight="1">
      <c r="A142" s="307" t="s">
        <v>806</v>
      </c>
      <c r="B142" s="290"/>
      <c r="C142" s="308"/>
      <c r="D142" s="273"/>
      <c r="E142" s="273"/>
      <c r="F142" s="217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218"/>
      <c r="U142" s="218"/>
      <c r="V142" s="218"/>
      <c r="W142" s="219"/>
      <c r="X142" s="219"/>
    </row>
    <row r="143" spans="1:24" s="220" customFormat="1" ht="20.25" customHeight="1">
      <c r="A143" s="307" t="s">
        <v>807</v>
      </c>
      <c r="B143" s="290"/>
      <c r="C143" s="308"/>
      <c r="D143" s="273"/>
      <c r="E143" s="273"/>
      <c r="F143" s="217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218"/>
      <c r="U143" s="218"/>
      <c r="V143" s="218"/>
      <c r="W143" s="219"/>
      <c r="X143" s="219"/>
    </row>
    <row r="144" spans="1:24" s="220" customFormat="1" ht="20.25" customHeight="1">
      <c r="A144" s="307" t="s">
        <v>808</v>
      </c>
      <c r="B144" s="290"/>
      <c r="C144" s="308"/>
      <c r="D144" s="273"/>
      <c r="E144" s="273"/>
      <c r="F144" s="217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218"/>
      <c r="U144" s="218"/>
      <c r="V144" s="218"/>
      <c r="W144" s="219"/>
      <c r="X144" s="219"/>
    </row>
    <row r="145" spans="1:24" s="220" customFormat="1" ht="20.25" customHeight="1">
      <c r="A145" s="305" t="s">
        <v>809</v>
      </c>
      <c r="B145" s="290"/>
      <c r="C145" s="290"/>
      <c r="D145" s="273"/>
      <c r="E145" s="273"/>
      <c r="F145" s="217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218"/>
      <c r="U145" s="218"/>
      <c r="V145" s="218"/>
      <c r="W145" s="219"/>
      <c r="X145" s="219"/>
    </row>
    <row r="146" spans="1:24" s="247" customFormat="1" ht="12.75">
      <c r="A146" s="269" t="s">
        <v>578</v>
      </c>
      <c r="B146" s="290"/>
      <c r="C146" s="290"/>
      <c r="D146" s="273"/>
      <c r="E146" s="273"/>
      <c r="F146" s="245"/>
      <c r="G146" s="222"/>
      <c r="H146" s="222"/>
      <c r="I146" s="222"/>
      <c r="J146" s="222"/>
      <c r="K146" s="222"/>
      <c r="L146" s="222"/>
      <c r="M146" s="222"/>
      <c r="N146" s="222"/>
      <c r="O146" s="222"/>
      <c r="P146" s="222"/>
      <c r="Q146" s="222"/>
      <c r="R146" s="222"/>
      <c r="S146" s="222"/>
      <c r="T146" s="222"/>
      <c r="U146" s="222"/>
      <c r="V146" s="222"/>
      <c r="W146" s="246"/>
      <c r="X146" s="246"/>
    </row>
    <row r="147" spans="1:24" s="247" customFormat="1" ht="12.75">
      <c r="A147" s="303" t="s">
        <v>488</v>
      </c>
      <c r="B147" s="290"/>
      <c r="C147" s="290"/>
      <c r="D147" s="273"/>
      <c r="E147" s="273"/>
      <c r="F147" s="245"/>
      <c r="G147" s="222"/>
      <c r="H147" s="222"/>
      <c r="I147" s="222"/>
      <c r="J147" s="222"/>
      <c r="K147" s="222"/>
      <c r="L147" s="222"/>
      <c r="M147" s="222"/>
      <c r="N147" s="222"/>
      <c r="O147" s="222"/>
      <c r="P147" s="222"/>
      <c r="Q147" s="222"/>
      <c r="R147" s="222"/>
      <c r="S147" s="222"/>
      <c r="T147" s="222"/>
      <c r="U147" s="222"/>
      <c r="V147" s="222"/>
      <c r="W147" s="246"/>
      <c r="X147" s="246"/>
    </row>
    <row r="148" spans="1:24" s="247" customFormat="1" ht="12.75">
      <c r="A148" s="269" t="s">
        <v>615</v>
      </c>
      <c r="B148" s="290"/>
      <c r="C148" s="290"/>
      <c r="D148" s="273"/>
      <c r="E148" s="273"/>
      <c r="F148" s="245"/>
      <c r="G148" s="222"/>
      <c r="H148" s="222"/>
      <c r="I148" s="222"/>
      <c r="J148" s="222"/>
      <c r="K148" s="222"/>
      <c r="L148" s="222"/>
      <c r="M148" s="222"/>
      <c r="N148" s="222"/>
      <c r="O148" s="222"/>
      <c r="P148" s="222"/>
      <c r="Q148" s="222"/>
      <c r="R148" s="222"/>
      <c r="S148" s="222"/>
      <c r="T148" s="222"/>
      <c r="U148" s="222"/>
      <c r="V148" s="222"/>
      <c r="W148" s="246"/>
      <c r="X148" s="246"/>
    </row>
    <row r="149" spans="1:24" s="220" customFormat="1" ht="15">
      <c r="A149" s="300" t="s">
        <v>777</v>
      </c>
      <c r="B149" s="290"/>
      <c r="C149" s="290"/>
      <c r="D149" s="273"/>
      <c r="E149" s="273"/>
      <c r="F149" s="217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218"/>
      <c r="U149" s="218"/>
      <c r="V149" s="218"/>
      <c r="W149" s="219"/>
      <c r="X149" s="219"/>
    </row>
    <row r="150" spans="1:24" s="220" customFormat="1" ht="15">
      <c r="A150" s="309" t="s">
        <v>128</v>
      </c>
      <c r="B150" s="290"/>
      <c r="C150" s="290"/>
      <c r="D150" s="273"/>
      <c r="E150" s="273"/>
      <c r="F150" s="217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218"/>
      <c r="U150" s="218"/>
      <c r="V150" s="218"/>
      <c r="W150" s="219"/>
      <c r="X150" s="219"/>
    </row>
    <row r="151" spans="1:24" s="220" customFormat="1" ht="15">
      <c r="A151" s="301" t="s">
        <v>728</v>
      </c>
      <c r="B151" s="290"/>
      <c r="C151" s="290"/>
      <c r="D151" s="273"/>
      <c r="E151" s="273"/>
      <c r="F151" s="217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218"/>
      <c r="U151" s="218"/>
      <c r="V151" s="218"/>
      <c r="W151" s="219"/>
      <c r="X151" s="219"/>
    </row>
    <row r="152" spans="1:24" s="220" customFormat="1" ht="15">
      <c r="A152" s="310" t="s">
        <v>489</v>
      </c>
      <c r="B152" s="290"/>
      <c r="C152" s="290"/>
      <c r="D152" s="273"/>
      <c r="E152" s="273"/>
      <c r="F152" s="217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218"/>
      <c r="U152" s="218"/>
      <c r="V152" s="218"/>
      <c r="W152" s="219"/>
      <c r="X152" s="219"/>
    </row>
    <row r="153" spans="1:24" s="220" customFormat="1" ht="15">
      <c r="A153" s="310" t="s">
        <v>490</v>
      </c>
      <c r="B153" s="290"/>
      <c r="C153" s="290"/>
      <c r="D153" s="273"/>
      <c r="E153" s="273"/>
      <c r="F153" s="217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218"/>
      <c r="U153" s="218"/>
      <c r="V153" s="218"/>
      <c r="W153" s="219"/>
      <c r="X153" s="219"/>
    </row>
    <row r="154" spans="1:24" s="220" customFormat="1" ht="15">
      <c r="A154" s="301"/>
      <c r="B154" s="290"/>
      <c r="C154" s="290"/>
      <c r="D154" s="273"/>
      <c r="E154" s="273"/>
      <c r="F154" s="217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218"/>
      <c r="U154" s="218"/>
      <c r="V154" s="218"/>
      <c r="W154" s="219"/>
      <c r="X154" s="219"/>
    </row>
    <row r="155" spans="1:24" s="220" customFormat="1" ht="39.75" customHeight="1">
      <c r="A155" s="302" t="s">
        <v>475</v>
      </c>
      <c r="B155" s="290"/>
      <c r="C155" s="290"/>
      <c r="D155" s="273"/>
      <c r="E155" s="273"/>
      <c r="F155" s="217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218"/>
      <c r="U155" s="218"/>
      <c r="V155" s="218"/>
      <c r="W155" s="219"/>
      <c r="X155" s="219"/>
    </row>
    <row r="156" spans="1:24" s="220" customFormat="1" ht="9" customHeight="1">
      <c r="A156" s="269"/>
      <c r="B156" s="290"/>
      <c r="C156" s="290"/>
      <c r="D156" s="273"/>
      <c r="E156" s="273"/>
      <c r="F156" s="217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218"/>
      <c r="U156" s="218"/>
      <c r="V156" s="218"/>
      <c r="W156" s="219"/>
      <c r="X156" s="219"/>
    </row>
    <row r="157" spans="1:24" s="220" customFormat="1" ht="15">
      <c r="A157" s="305" t="s">
        <v>452</v>
      </c>
      <c r="B157" s="290"/>
      <c r="C157" s="290"/>
      <c r="D157" s="273"/>
      <c r="E157" s="273"/>
      <c r="F157" s="217"/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218"/>
      <c r="U157" s="218"/>
      <c r="V157" s="218"/>
      <c r="W157" s="219"/>
      <c r="X157" s="219"/>
    </row>
    <row r="158" spans="1:24" s="220" customFormat="1" ht="15">
      <c r="A158" s="301" t="s">
        <v>116</v>
      </c>
      <c r="B158" s="290"/>
      <c r="C158" s="290"/>
      <c r="D158" s="273"/>
      <c r="E158" s="273"/>
      <c r="F158" s="217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218"/>
      <c r="U158" s="218"/>
      <c r="V158" s="218"/>
      <c r="W158" s="219"/>
      <c r="X158" s="219"/>
    </row>
    <row r="159" spans="1:24" s="220" customFormat="1" ht="15">
      <c r="A159" s="301" t="s">
        <v>592</v>
      </c>
      <c r="B159" s="290"/>
      <c r="C159" s="290"/>
      <c r="D159" s="273"/>
      <c r="E159" s="273"/>
      <c r="F159" s="217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218"/>
      <c r="U159" s="218"/>
      <c r="V159" s="218"/>
      <c r="W159" s="219"/>
      <c r="X159" s="219"/>
    </row>
    <row r="160" spans="1:24" s="220" customFormat="1" ht="15">
      <c r="A160" s="301" t="s">
        <v>593</v>
      </c>
      <c r="B160" s="290"/>
      <c r="C160" s="290"/>
      <c r="D160" s="273"/>
      <c r="E160" s="273"/>
      <c r="F160" s="217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218"/>
      <c r="U160" s="218"/>
      <c r="V160" s="218"/>
      <c r="W160" s="219"/>
      <c r="X160" s="219"/>
    </row>
    <row r="161" spans="1:24" s="220" customFormat="1" ht="15">
      <c r="A161" s="301" t="s">
        <v>594</v>
      </c>
      <c r="B161" s="290"/>
      <c r="C161" s="290"/>
      <c r="D161" s="273"/>
      <c r="E161" s="273"/>
      <c r="F161" s="217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218"/>
      <c r="U161" s="218"/>
      <c r="V161" s="218"/>
      <c r="W161" s="219"/>
      <c r="X161" s="219"/>
    </row>
    <row r="162" spans="1:24" s="220" customFormat="1" ht="15">
      <c r="A162" s="301" t="s">
        <v>595</v>
      </c>
      <c r="B162" s="290"/>
      <c r="C162" s="290"/>
      <c r="D162" s="273"/>
      <c r="E162" s="273"/>
      <c r="F162" s="217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218"/>
      <c r="U162" s="218"/>
      <c r="V162" s="218"/>
      <c r="W162" s="219"/>
      <c r="X162" s="219"/>
    </row>
    <row r="163" spans="1:24" s="220" customFormat="1" ht="15">
      <c r="A163" s="301" t="s">
        <v>596</v>
      </c>
      <c r="B163" s="290"/>
      <c r="C163" s="290"/>
      <c r="D163" s="273"/>
      <c r="E163" s="273"/>
      <c r="F163" s="217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218"/>
      <c r="U163" s="218"/>
      <c r="V163" s="218"/>
      <c r="W163" s="219"/>
      <c r="X163" s="219"/>
    </row>
    <row r="164" spans="1:24" s="220" customFormat="1" ht="15">
      <c r="A164" s="301" t="s">
        <v>597</v>
      </c>
      <c r="B164" s="290"/>
      <c r="C164" s="290"/>
      <c r="D164" s="273"/>
      <c r="E164" s="273"/>
      <c r="F164" s="217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218"/>
      <c r="U164" s="218"/>
      <c r="V164" s="218"/>
      <c r="W164" s="219"/>
      <c r="X164" s="219"/>
    </row>
    <row r="165" spans="1:24" s="220" customFormat="1" ht="15">
      <c r="A165" s="301" t="s">
        <v>598</v>
      </c>
      <c r="B165" s="290"/>
      <c r="C165" s="290"/>
      <c r="D165" s="273"/>
      <c r="E165" s="273"/>
      <c r="F165" s="217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218"/>
      <c r="U165" s="218"/>
      <c r="V165" s="218"/>
      <c r="W165" s="219"/>
      <c r="X165" s="219"/>
    </row>
    <row r="166" spans="1:24" s="220" customFormat="1" ht="15">
      <c r="A166" s="301" t="s">
        <v>599</v>
      </c>
      <c r="B166" s="290"/>
      <c r="C166" s="290"/>
      <c r="D166" s="273"/>
      <c r="E166" s="273"/>
      <c r="F166" s="217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218"/>
      <c r="U166" s="218"/>
      <c r="V166" s="218"/>
      <c r="W166" s="219"/>
      <c r="X166" s="219"/>
    </row>
    <row r="167" spans="1:24" s="220" customFormat="1" ht="15">
      <c r="A167" s="301" t="s">
        <v>422</v>
      </c>
      <c r="B167" s="290"/>
      <c r="C167" s="290"/>
      <c r="D167" s="273"/>
      <c r="E167" s="273"/>
      <c r="F167" s="217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218"/>
      <c r="U167" s="218"/>
      <c r="V167" s="218"/>
      <c r="W167" s="219"/>
      <c r="X167" s="219"/>
    </row>
    <row r="168" spans="1:24" s="220" customFormat="1" ht="15">
      <c r="A168" s="301" t="s">
        <v>421</v>
      </c>
      <c r="B168" s="290"/>
      <c r="C168" s="290"/>
      <c r="D168" s="273"/>
      <c r="E168" s="273"/>
      <c r="F168" s="217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218"/>
      <c r="U168" s="218"/>
      <c r="V168" s="218"/>
      <c r="W168" s="219"/>
      <c r="X168" s="219"/>
    </row>
    <row r="169" spans="1:24" s="220" customFormat="1" ht="15">
      <c r="A169" s="306" t="s">
        <v>454</v>
      </c>
      <c r="B169" s="290"/>
      <c r="C169" s="290"/>
      <c r="D169" s="273"/>
      <c r="E169" s="273"/>
      <c r="F169" s="217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218"/>
      <c r="U169" s="218"/>
      <c r="V169" s="218"/>
      <c r="W169" s="219"/>
      <c r="X169" s="219"/>
    </row>
    <row r="170" spans="1:24" s="220" customFormat="1" ht="15">
      <c r="A170" s="304" t="s">
        <v>577</v>
      </c>
      <c r="B170" s="290"/>
      <c r="C170" s="290"/>
      <c r="D170" s="273"/>
      <c r="E170" s="273"/>
      <c r="F170" s="217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218"/>
      <c r="U170" s="218"/>
      <c r="V170" s="218"/>
      <c r="W170" s="219"/>
      <c r="X170" s="219"/>
    </row>
    <row r="171" spans="1:24" s="220" customFormat="1" ht="15">
      <c r="A171" s="305" t="s">
        <v>453</v>
      </c>
      <c r="B171" s="290"/>
      <c r="C171" s="290"/>
      <c r="D171" s="273"/>
      <c r="E171" s="273"/>
      <c r="F171" s="217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218"/>
      <c r="U171" s="218"/>
      <c r="V171" s="218"/>
      <c r="W171" s="219"/>
      <c r="X171" s="219"/>
    </row>
    <row r="172" spans="1:24" s="247" customFormat="1" ht="12.75">
      <c r="A172" s="269" t="s">
        <v>424</v>
      </c>
      <c r="B172" s="290"/>
      <c r="C172" s="290"/>
      <c r="D172" s="273"/>
      <c r="E172" s="273"/>
      <c r="F172" s="245"/>
      <c r="G172" s="222"/>
      <c r="H172" s="222"/>
      <c r="I172" s="222"/>
      <c r="J172" s="222"/>
      <c r="K172" s="222"/>
      <c r="L172" s="222"/>
      <c r="M172" s="222"/>
      <c r="N172" s="222"/>
      <c r="O172" s="222"/>
      <c r="P172" s="222"/>
      <c r="Q172" s="222"/>
      <c r="R172" s="222"/>
      <c r="S172" s="222"/>
      <c r="T172" s="222"/>
      <c r="U172" s="222"/>
      <c r="V172" s="222"/>
      <c r="W172" s="246"/>
      <c r="X172" s="246"/>
    </row>
    <row r="173" spans="1:24" s="247" customFormat="1" ht="12.75">
      <c r="A173" s="269" t="s">
        <v>423</v>
      </c>
      <c r="B173" s="290"/>
      <c r="C173" s="290"/>
      <c r="D173" s="273"/>
      <c r="E173" s="273"/>
      <c r="F173" s="245"/>
      <c r="G173" s="222"/>
      <c r="H173" s="222"/>
      <c r="I173" s="222"/>
      <c r="J173" s="222"/>
      <c r="K173" s="222"/>
      <c r="L173" s="222"/>
      <c r="M173" s="222"/>
      <c r="N173" s="222"/>
      <c r="O173" s="222"/>
      <c r="P173" s="222"/>
      <c r="Q173" s="222"/>
      <c r="R173" s="222"/>
      <c r="S173" s="222"/>
      <c r="T173" s="222"/>
      <c r="U173" s="222"/>
      <c r="V173" s="222"/>
      <c r="W173" s="246"/>
      <c r="X173" s="246"/>
    </row>
    <row r="174" spans="1:24" s="220" customFormat="1" ht="26.25" customHeight="1">
      <c r="A174" s="306" t="s">
        <v>739</v>
      </c>
      <c r="B174" s="290"/>
      <c r="C174" s="290"/>
      <c r="D174" s="273"/>
      <c r="E174" s="273"/>
      <c r="F174" s="217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218"/>
      <c r="U174" s="218"/>
      <c r="V174" s="218"/>
      <c r="W174" s="219"/>
      <c r="X174" s="219"/>
    </row>
    <row r="175" spans="1:24" s="220" customFormat="1" ht="15">
      <c r="A175" s="305" t="s">
        <v>736</v>
      </c>
      <c r="B175" s="290"/>
      <c r="C175" s="290"/>
      <c r="D175" s="273"/>
      <c r="E175" s="273"/>
      <c r="F175" s="217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218"/>
      <c r="U175" s="218"/>
      <c r="V175" s="218"/>
      <c r="W175" s="219"/>
      <c r="X175" s="219"/>
    </row>
    <row r="176" spans="1:24" s="220" customFormat="1" ht="15">
      <c r="A176" s="305" t="s">
        <v>737</v>
      </c>
      <c r="B176" s="290"/>
      <c r="C176" s="290"/>
      <c r="D176" s="273"/>
      <c r="E176" s="273"/>
      <c r="F176" s="217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218"/>
      <c r="U176" s="218"/>
      <c r="V176" s="218"/>
      <c r="W176" s="219"/>
      <c r="X176" s="219"/>
    </row>
    <row r="177" spans="1:24" s="220" customFormat="1" ht="15">
      <c r="A177" s="305" t="s">
        <v>738</v>
      </c>
      <c r="B177" s="290"/>
      <c r="C177" s="290"/>
      <c r="D177" s="273"/>
      <c r="E177" s="273"/>
      <c r="F177" s="217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218"/>
      <c r="U177" s="218"/>
      <c r="V177" s="218"/>
      <c r="W177" s="219"/>
      <c r="X177" s="219"/>
    </row>
    <row r="178" spans="1:24" s="220" customFormat="1" ht="25.5">
      <c r="A178" s="307" t="s">
        <v>810</v>
      </c>
      <c r="B178" s="290"/>
      <c r="C178" s="290"/>
      <c r="D178" s="273"/>
      <c r="E178" s="273"/>
      <c r="F178" s="217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218"/>
      <c r="U178" s="218"/>
      <c r="V178" s="218"/>
      <c r="W178" s="219"/>
      <c r="X178" s="219"/>
    </row>
    <row r="179" spans="1:24" s="220" customFormat="1" ht="15">
      <c r="A179" s="305" t="s">
        <v>455</v>
      </c>
      <c r="B179" s="290"/>
      <c r="C179" s="290"/>
      <c r="D179" s="273"/>
      <c r="E179" s="273"/>
      <c r="F179" s="217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218"/>
      <c r="U179" s="218"/>
      <c r="V179" s="218"/>
      <c r="W179" s="219"/>
      <c r="X179" s="219"/>
    </row>
    <row r="180" spans="1:24" s="220" customFormat="1" ht="15">
      <c r="A180" s="269" t="s">
        <v>456</v>
      </c>
      <c r="B180" s="290"/>
      <c r="C180" s="290"/>
      <c r="D180" s="273"/>
      <c r="E180" s="273"/>
      <c r="F180" s="217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218"/>
      <c r="U180" s="218"/>
      <c r="V180" s="218"/>
      <c r="W180" s="219"/>
      <c r="X180" s="219"/>
    </row>
    <row r="181" spans="1:24" s="220" customFormat="1" ht="15">
      <c r="A181" s="303" t="s">
        <v>488</v>
      </c>
      <c r="B181" s="290"/>
      <c r="C181" s="290"/>
      <c r="D181" s="273"/>
      <c r="E181" s="273"/>
      <c r="F181" s="217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218"/>
      <c r="U181" s="218"/>
      <c r="V181" s="218"/>
      <c r="W181" s="219"/>
      <c r="X181" s="219"/>
    </row>
    <row r="182" spans="1:24" s="220" customFormat="1" ht="15">
      <c r="A182" s="269" t="s">
        <v>457</v>
      </c>
      <c r="B182" s="290"/>
      <c r="C182" s="290"/>
      <c r="D182" s="273"/>
      <c r="E182" s="273"/>
      <c r="F182" s="217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218"/>
      <c r="U182" s="218"/>
      <c r="V182" s="218"/>
      <c r="W182" s="219"/>
      <c r="X182" s="219"/>
    </row>
    <row r="183" spans="1:24" s="220" customFormat="1" ht="15">
      <c r="A183" s="269" t="s">
        <v>459</v>
      </c>
      <c r="B183" s="290"/>
      <c r="C183" s="290"/>
      <c r="D183" s="273"/>
      <c r="E183" s="273"/>
      <c r="F183" s="217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218"/>
      <c r="U183" s="218"/>
      <c r="V183" s="218"/>
      <c r="W183" s="219"/>
      <c r="X183" s="219"/>
    </row>
    <row r="184" spans="1:24" s="220" customFormat="1" ht="15">
      <c r="A184" s="309" t="s">
        <v>128</v>
      </c>
      <c r="B184" s="290"/>
      <c r="C184" s="290"/>
      <c r="D184" s="273"/>
      <c r="E184" s="273"/>
      <c r="F184" s="217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218"/>
      <c r="U184" s="218"/>
      <c r="V184" s="218"/>
      <c r="W184" s="219"/>
      <c r="X184" s="219"/>
    </row>
    <row r="185" spans="1:24" s="220" customFormat="1" ht="15">
      <c r="A185" s="301" t="s">
        <v>728</v>
      </c>
      <c r="B185" s="290"/>
      <c r="C185" s="290"/>
      <c r="D185" s="273"/>
      <c r="E185" s="273"/>
      <c r="F185" s="217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218"/>
      <c r="U185" s="218"/>
      <c r="V185" s="218"/>
      <c r="W185" s="219"/>
      <c r="X185" s="219"/>
    </row>
    <row r="186" spans="1:24" s="220" customFormat="1" ht="15">
      <c r="A186" s="269" t="s">
        <v>458</v>
      </c>
      <c r="B186" s="290"/>
      <c r="C186" s="290"/>
      <c r="D186" s="273"/>
      <c r="E186" s="273"/>
      <c r="F186" s="217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218"/>
      <c r="U186" s="218"/>
      <c r="V186" s="218"/>
      <c r="W186" s="219"/>
      <c r="X186" s="219"/>
    </row>
    <row r="187" spans="1:24" s="220" customFormat="1" ht="15">
      <c r="A187" s="269" t="s">
        <v>460</v>
      </c>
      <c r="B187" s="290"/>
      <c r="C187" s="290"/>
      <c r="D187" s="273"/>
      <c r="E187" s="273"/>
      <c r="F187" s="217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218"/>
      <c r="U187" s="218"/>
      <c r="V187" s="218"/>
      <c r="W187" s="219"/>
      <c r="X187" s="219"/>
    </row>
    <row r="188" spans="1:24" s="220" customFormat="1" ht="15">
      <c r="A188" s="311" t="s">
        <v>461</v>
      </c>
      <c r="B188" s="290"/>
      <c r="C188" s="290"/>
      <c r="D188" s="273"/>
      <c r="E188" s="273"/>
      <c r="F188" s="217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218"/>
      <c r="U188" s="218"/>
      <c r="V188" s="218"/>
      <c r="W188" s="219"/>
      <c r="X188" s="219"/>
    </row>
    <row r="189" spans="1:255" s="234" customFormat="1" ht="18.75" customHeight="1">
      <c r="A189" s="289" t="s">
        <v>771</v>
      </c>
      <c r="B189" s="290"/>
      <c r="C189" s="290"/>
      <c r="D189" s="273"/>
      <c r="E189" s="273"/>
      <c r="F189" s="230"/>
      <c r="G189" s="231"/>
      <c r="H189" s="231"/>
      <c r="I189" s="231"/>
      <c r="J189" s="231"/>
      <c r="K189" s="231"/>
      <c r="L189" s="231"/>
      <c r="M189" s="231"/>
      <c r="N189" s="231"/>
      <c r="O189" s="231"/>
      <c r="P189" s="231"/>
      <c r="Q189" s="231"/>
      <c r="R189" s="231"/>
      <c r="S189" s="231"/>
      <c r="T189" s="231"/>
      <c r="U189" s="231"/>
      <c r="V189" s="231"/>
      <c r="W189" s="232"/>
      <c r="X189" s="232"/>
      <c r="Y189" s="233"/>
      <c r="Z189" s="233"/>
      <c r="AA189" s="233"/>
      <c r="AB189" s="233"/>
      <c r="AC189" s="233"/>
      <c r="AD189" s="233"/>
      <c r="AE189" s="233"/>
      <c r="AF189" s="233"/>
      <c r="AG189" s="233"/>
      <c r="AH189" s="233"/>
      <c r="AI189" s="233"/>
      <c r="AJ189" s="233"/>
      <c r="AK189" s="233"/>
      <c r="AL189" s="233"/>
      <c r="AM189" s="233"/>
      <c r="AN189" s="233"/>
      <c r="AO189" s="233"/>
      <c r="AP189" s="233"/>
      <c r="AQ189" s="233"/>
      <c r="AR189" s="233"/>
      <c r="AS189" s="233"/>
      <c r="AT189" s="233"/>
      <c r="AU189" s="233"/>
      <c r="AV189" s="233"/>
      <c r="AW189" s="233"/>
      <c r="AX189" s="233"/>
      <c r="AY189" s="233"/>
      <c r="AZ189" s="233"/>
      <c r="BA189" s="233"/>
      <c r="BB189" s="233"/>
      <c r="BC189" s="233"/>
      <c r="BD189" s="233"/>
      <c r="BE189" s="233"/>
      <c r="BF189" s="233"/>
      <c r="BG189" s="233"/>
      <c r="BH189" s="233"/>
      <c r="BI189" s="233"/>
      <c r="BJ189" s="233"/>
      <c r="BK189" s="233"/>
      <c r="BL189" s="233"/>
      <c r="BM189" s="233"/>
      <c r="BN189" s="233"/>
      <c r="BO189" s="233"/>
      <c r="BP189" s="233"/>
      <c r="BQ189" s="233"/>
      <c r="BR189" s="233"/>
      <c r="BS189" s="233"/>
      <c r="BT189" s="233"/>
      <c r="BU189" s="233"/>
      <c r="BV189" s="233"/>
      <c r="BW189" s="233"/>
      <c r="BX189" s="233"/>
      <c r="BY189" s="233"/>
      <c r="BZ189" s="233"/>
      <c r="CA189" s="233"/>
      <c r="CB189" s="233"/>
      <c r="CC189" s="233"/>
      <c r="CD189" s="233"/>
      <c r="CE189" s="233"/>
      <c r="CF189" s="233"/>
      <c r="CG189" s="233"/>
      <c r="CH189" s="233"/>
      <c r="CI189" s="233"/>
      <c r="CJ189" s="233"/>
      <c r="CK189" s="233"/>
      <c r="CL189" s="233"/>
      <c r="CM189" s="233"/>
      <c r="CN189" s="233"/>
      <c r="CO189" s="233"/>
      <c r="CP189" s="233"/>
      <c r="CQ189" s="233"/>
      <c r="CR189" s="233"/>
      <c r="CS189" s="233"/>
      <c r="CT189" s="233"/>
      <c r="CU189" s="233"/>
      <c r="CV189" s="233"/>
      <c r="CW189" s="233"/>
      <c r="CX189" s="233"/>
      <c r="CY189" s="233"/>
      <c r="CZ189" s="233"/>
      <c r="DA189" s="233"/>
      <c r="DB189" s="233"/>
      <c r="DC189" s="233"/>
      <c r="DD189" s="233"/>
      <c r="DE189" s="233"/>
      <c r="DF189" s="233"/>
      <c r="DG189" s="233"/>
      <c r="DH189" s="233"/>
      <c r="DI189" s="233"/>
      <c r="DJ189" s="233"/>
      <c r="DK189" s="233"/>
      <c r="DL189" s="233"/>
      <c r="DM189" s="233"/>
      <c r="DN189" s="233"/>
      <c r="DO189" s="233"/>
      <c r="DP189" s="233"/>
      <c r="DQ189" s="233"/>
      <c r="DR189" s="233"/>
      <c r="DS189" s="233"/>
      <c r="DT189" s="233"/>
      <c r="DU189" s="233"/>
      <c r="DV189" s="233"/>
      <c r="DW189" s="233"/>
      <c r="DX189" s="233"/>
      <c r="DY189" s="233"/>
      <c r="DZ189" s="233"/>
      <c r="EA189" s="233"/>
      <c r="EB189" s="233"/>
      <c r="EC189" s="233"/>
      <c r="ED189" s="233"/>
      <c r="EE189" s="233"/>
      <c r="EF189" s="233"/>
      <c r="EG189" s="233"/>
      <c r="EH189" s="233"/>
      <c r="EI189" s="233"/>
      <c r="EJ189" s="233"/>
      <c r="EK189" s="233"/>
      <c r="EL189" s="233"/>
      <c r="EM189" s="233"/>
      <c r="EN189" s="233"/>
      <c r="EO189" s="233"/>
      <c r="EP189" s="233"/>
      <c r="EQ189" s="233"/>
      <c r="ER189" s="233"/>
      <c r="ES189" s="233"/>
      <c r="ET189" s="233"/>
      <c r="EU189" s="233"/>
      <c r="EV189" s="233"/>
      <c r="EW189" s="233"/>
      <c r="EX189" s="233"/>
      <c r="EY189" s="233"/>
      <c r="EZ189" s="233"/>
      <c r="FA189" s="233"/>
      <c r="FB189" s="233"/>
      <c r="FC189" s="233"/>
      <c r="FD189" s="233"/>
      <c r="FE189" s="233"/>
      <c r="FF189" s="233"/>
      <c r="FG189" s="233"/>
      <c r="FH189" s="233"/>
      <c r="FI189" s="233"/>
      <c r="FJ189" s="233"/>
      <c r="FK189" s="233"/>
      <c r="FL189" s="233"/>
      <c r="FM189" s="233"/>
      <c r="FN189" s="233"/>
      <c r="FO189" s="233"/>
      <c r="FP189" s="233"/>
      <c r="FQ189" s="233"/>
      <c r="FR189" s="233"/>
      <c r="FS189" s="233"/>
      <c r="FT189" s="233"/>
      <c r="FU189" s="233"/>
      <c r="FV189" s="233"/>
      <c r="FW189" s="233"/>
      <c r="FX189" s="233"/>
      <c r="FY189" s="233"/>
      <c r="FZ189" s="233"/>
      <c r="GA189" s="233"/>
      <c r="GB189" s="233"/>
      <c r="GC189" s="233"/>
      <c r="GD189" s="233"/>
      <c r="GE189" s="233"/>
      <c r="GF189" s="233"/>
      <c r="GG189" s="233"/>
      <c r="GH189" s="233"/>
      <c r="GI189" s="233"/>
      <c r="GJ189" s="233"/>
      <c r="GK189" s="233"/>
      <c r="GL189" s="233"/>
      <c r="GM189" s="233"/>
      <c r="GN189" s="233"/>
      <c r="GO189" s="233"/>
      <c r="GP189" s="233"/>
      <c r="GQ189" s="233"/>
      <c r="GR189" s="233"/>
      <c r="GS189" s="233"/>
      <c r="GT189" s="233"/>
      <c r="GU189" s="233"/>
      <c r="GV189" s="233"/>
      <c r="GW189" s="233"/>
      <c r="GX189" s="233"/>
      <c r="GY189" s="233"/>
      <c r="GZ189" s="233"/>
      <c r="HA189" s="233"/>
      <c r="HB189" s="233"/>
      <c r="HC189" s="233"/>
      <c r="HD189" s="233"/>
      <c r="HE189" s="233"/>
      <c r="HF189" s="233"/>
      <c r="HG189" s="233"/>
      <c r="HH189" s="233"/>
      <c r="HI189" s="233"/>
      <c r="HJ189" s="233"/>
      <c r="HK189" s="233"/>
      <c r="HL189" s="233"/>
      <c r="HM189" s="233"/>
      <c r="HN189" s="233"/>
      <c r="HO189" s="233"/>
      <c r="HP189" s="233"/>
      <c r="HQ189" s="233"/>
      <c r="HR189" s="233"/>
      <c r="HS189" s="233"/>
      <c r="HT189" s="233"/>
      <c r="HU189" s="233"/>
      <c r="HV189" s="233"/>
      <c r="HW189" s="233"/>
      <c r="HX189" s="233"/>
      <c r="HY189" s="233"/>
      <c r="HZ189" s="233"/>
      <c r="IA189" s="233"/>
      <c r="IB189" s="233"/>
      <c r="IC189" s="233"/>
      <c r="ID189" s="233"/>
      <c r="IE189" s="233"/>
      <c r="IF189" s="233"/>
      <c r="IG189" s="233"/>
      <c r="IH189" s="233"/>
      <c r="II189" s="233"/>
      <c r="IJ189" s="233"/>
      <c r="IK189" s="233"/>
      <c r="IL189" s="233"/>
      <c r="IM189" s="233"/>
      <c r="IN189" s="233"/>
      <c r="IO189" s="233"/>
      <c r="IP189" s="233"/>
      <c r="IQ189" s="233"/>
      <c r="IR189" s="233"/>
      <c r="IS189" s="233"/>
      <c r="IT189" s="233"/>
      <c r="IU189" s="233"/>
    </row>
    <row r="190" spans="1:24" s="220" customFormat="1" ht="15">
      <c r="A190" s="301" t="s">
        <v>705</v>
      </c>
      <c r="B190" s="290"/>
      <c r="C190" s="290" t="s">
        <v>813</v>
      </c>
      <c r="D190" s="273"/>
      <c r="E190" s="273"/>
      <c r="F190" s="217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218"/>
      <c r="U190" s="218"/>
      <c r="V190" s="218"/>
      <c r="W190" s="219"/>
      <c r="X190" s="219"/>
    </row>
    <row r="191" spans="1:24" s="220" customFormat="1" ht="25.5" customHeight="1">
      <c r="A191" s="302" t="s">
        <v>811</v>
      </c>
      <c r="B191" s="290"/>
      <c r="C191" s="290"/>
      <c r="D191" s="273"/>
      <c r="E191" s="273"/>
      <c r="F191" s="217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218"/>
      <c r="U191" s="218"/>
      <c r="V191" s="218"/>
      <c r="W191" s="219"/>
      <c r="X191" s="219"/>
    </row>
    <row r="192" spans="1:24" s="220" customFormat="1" ht="10.5" customHeight="1">
      <c r="A192" s="289"/>
      <c r="B192" s="290"/>
      <c r="C192" s="290"/>
      <c r="D192" s="273"/>
      <c r="E192" s="273"/>
      <c r="F192" s="217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218"/>
      <c r="U192" s="218"/>
      <c r="V192" s="218"/>
      <c r="W192" s="219"/>
      <c r="X192" s="219"/>
    </row>
    <row r="193" spans="1:24" s="220" customFormat="1" ht="15">
      <c r="A193" s="269" t="s">
        <v>812</v>
      </c>
      <c r="B193" s="290"/>
      <c r="C193" s="290"/>
      <c r="D193" s="273"/>
      <c r="E193" s="273"/>
      <c r="F193" s="217"/>
      <c r="G193" s="21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218"/>
      <c r="U193" s="218"/>
      <c r="V193" s="218"/>
      <c r="W193" s="219"/>
      <c r="X193" s="219"/>
    </row>
    <row r="194" spans="1:24" s="220" customFormat="1" ht="15">
      <c r="A194" s="301"/>
      <c r="B194" s="290"/>
      <c r="C194" s="290"/>
      <c r="D194" s="273"/>
      <c r="E194" s="273"/>
      <c r="F194" s="217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218"/>
      <c r="U194" s="218"/>
      <c r="V194" s="218"/>
      <c r="W194" s="219"/>
      <c r="X194" s="219"/>
    </row>
    <row r="195" spans="1:255" s="234" customFormat="1" ht="36" customHeight="1">
      <c r="A195" s="300" t="s">
        <v>772</v>
      </c>
      <c r="B195" s="290"/>
      <c r="C195" s="290"/>
      <c r="D195" s="273"/>
      <c r="E195" s="273"/>
      <c r="F195" s="230"/>
      <c r="G195" s="231"/>
      <c r="H195" s="231"/>
      <c r="I195" s="231"/>
      <c r="J195" s="231"/>
      <c r="K195" s="231"/>
      <c r="L195" s="231"/>
      <c r="M195" s="231"/>
      <c r="N195" s="231"/>
      <c r="O195" s="231"/>
      <c r="P195" s="231"/>
      <c r="Q195" s="231"/>
      <c r="R195" s="231"/>
      <c r="S195" s="231"/>
      <c r="T195" s="231"/>
      <c r="U195" s="231"/>
      <c r="V195" s="231"/>
      <c r="W195" s="232"/>
      <c r="X195" s="232"/>
      <c r="Y195" s="233"/>
      <c r="Z195" s="233"/>
      <c r="AA195" s="233"/>
      <c r="AB195" s="233"/>
      <c r="AC195" s="233"/>
      <c r="AD195" s="233"/>
      <c r="AE195" s="233"/>
      <c r="AF195" s="233"/>
      <c r="AG195" s="233"/>
      <c r="AH195" s="233"/>
      <c r="AI195" s="233"/>
      <c r="AJ195" s="233"/>
      <c r="AK195" s="233"/>
      <c r="AL195" s="233"/>
      <c r="AM195" s="233"/>
      <c r="AN195" s="233"/>
      <c r="AO195" s="233"/>
      <c r="AP195" s="233"/>
      <c r="AQ195" s="233"/>
      <c r="AR195" s="233"/>
      <c r="AS195" s="233"/>
      <c r="AT195" s="233"/>
      <c r="AU195" s="233"/>
      <c r="AV195" s="233"/>
      <c r="AW195" s="233"/>
      <c r="AX195" s="233"/>
      <c r="AY195" s="233"/>
      <c r="AZ195" s="233"/>
      <c r="BA195" s="233"/>
      <c r="BB195" s="233"/>
      <c r="BC195" s="233"/>
      <c r="BD195" s="233"/>
      <c r="BE195" s="233"/>
      <c r="BF195" s="233"/>
      <c r="BG195" s="233"/>
      <c r="BH195" s="233"/>
      <c r="BI195" s="233"/>
      <c r="BJ195" s="233"/>
      <c r="BK195" s="233"/>
      <c r="BL195" s="233"/>
      <c r="BM195" s="233"/>
      <c r="BN195" s="233"/>
      <c r="BO195" s="233"/>
      <c r="BP195" s="233"/>
      <c r="BQ195" s="233"/>
      <c r="BR195" s="233"/>
      <c r="BS195" s="233"/>
      <c r="BT195" s="233"/>
      <c r="BU195" s="233"/>
      <c r="BV195" s="233"/>
      <c r="BW195" s="233"/>
      <c r="BX195" s="233"/>
      <c r="BY195" s="233"/>
      <c r="BZ195" s="233"/>
      <c r="CA195" s="233"/>
      <c r="CB195" s="233"/>
      <c r="CC195" s="233"/>
      <c r="CD195" s="233"/>
      <c r="CE195" s="233"/>
      <c r="CF195" s="233"/>
      <c r="CG195" s="233"/>
      <c r="CH195" s="233"/>
      <c r="CI195" s="233"/>
      <c r="CJ195" s="233"/>
      <c r="CK195" s="233"/>
      <c r="CL195" s="233"/>
      <c r="CM195" s="233"/>
      <c r="CN195" s="233"/>
      <c r="CO195" s="233"/>
      <c r="CP195" s="233"/>
      <c r="CQ195" s="233"/>
      <c r="CR195" s="233"/>
      <c r="CS195" s="233"/>
      <c r="CT195" s="233"/>
      <c r="CU195" s="233"/>
      <c r="CV195" s="233"/>
      <c r="CW195" s="233"/>
      <c r="CX195" s="233"/>
      <c r="CY195" s="233"/>
      <c r="CZ195" s="233"/>
      <c r="DA195" s="233"/>
      <c r="DB195" s="233"/>
      <c r="DC195" s="233"/>
      <c r="DD195" s="233"/>
      <c r="DE195" s="233"/>
      <c r="DF195" s="233"/>
      <c r="DG195" s="233"/>
      <c r="DH195" s="233"/>
      <c r="DI195" s="233"/>
      <c r="DJ195" s="233"/>
      <c r="DK195" s="233"/>
      <c r="DL195" s="233"/>
      <c r="DM195" s="233"/>
      <c r="DN195" s="233"/>
      <c r="DO195" s="233"/>
      <c r="DP195" s="233"/>
      <c r="DQ195" s="233"/>
      <c r="DR195" s="233"/>
      <c r="DS195" s="233"/>
      <c r="DT195" s="233"/>
      <c r="DU195" s="233"/>
      <c r="DV195" s="233"/>
      <c r="DW195" s="233"/>
      <c r="DX195" s="233"/>
      <c r="DY195" s="233"/>
      <c r="DZ195" s="233"/>
      <c r="EA195" s="233"/>
      <c r="EB195" s="233"/>
      <c r="EC195" s="233"/>
      <c r="ED195" s="233"/>
      <c r="EE195" s="233"/>
      <c r="EF195" s="233"/>
      <c r="EG195" s="233"/>
      <c r="EH195" s="233"/>
      <c r="EI195" s="233"/>
      <c r="EJ195" s="233"/>
      <c r="EK195" s="233"/>
      <c r="EL195" s="233"/>
      <c r="EM195" s="233"/>
      <c r="EN195" s="233"/>
      <c r="EO195" s="233"/>
      <c r="EP195" s="233"/>
      <c r="EQ195" s="233"/>
      <c r="ER195" s="233"/>
      <c r="ES195" s="233"/>
      <c r="ET195" s="233"/>
      <c r="EU195" s="233"/>
      <c r="EV195" s="233"/>
      <c r="EW195" s="233"/>
      <c r="EX195" s="233"/>
      <c r="EY195" s="233"/>
      <c r="EZ195" s="233"/>
      <c r="FA195" s="233"/>
      <c r="FB195" s="233"/>
      <c r="FC195" s="233"/>
      <c r="FD195" s="233"/>
      <c r="FE195" s="233"/>
      <c r="FF195" s="233"/>
      <c r="FG195" s="233"/>
      <c r="FH195" s="233"/>
      <c r="FI195" s="233"/>
      <c r="FJ195" s="233"/>
      <c r="FK195" s="233"/>
      <c r="FL195" s="233"/>
      <c r="FM195" s="233"/>
      <c r="FN195" s="233"/>
      <c r="FO195" s="233"/>
      <c r="FP195" s="233"/>
      <c r="FQ195" s="233"/>
      <c r="FR195" s="233"/>
      <c r="FS195" s="233"/>
      <c r="FT195" s="233"/>
      <c r="FU195" s="233"/>
      <c r="FV195" s="233"/>
      <c r="FW195" s="233"/>
      <c r="FX195" s="233"/>
      <c r="FY195" s="233"/>
      <c r="FZ195" s="233"/>
      <c r="GA195" s="233"/>
      <c r="GB195" s="233"/>
      <c r="GC195" s="233"/>
      <c r="GD195" s="233"/>
      <c r="GE195" s="233"/>
      <c r="GF195" s="233"/>
      <c r="GG195" s="233"/>
      <c r="GH195" s="233"/>
      <c r="GI195" s="233"/>
      <c r="GJ195" s="233"/>
      <c r="GK195" s="233"/>
      <c r="GL195" s="233"/>
      <c r="GM195" s="233"/>
      <c r="GN195" s="233"/>
      <c r="GO195" s="233"/>
      <c r="GP195" s="233"/>
      <c r="GQ195" s="233"/>
      <c r="GR195" s="233"/>
      <c r="GS195" s="233"/>
      <c r="GT195" s="233"/>
      <c r="GU195" s="233"/>
      <c r="GV195" s="233"/>
      <c r="GW195" s="233"/>
      <c r="GX195" s="233"/>
      <c r="GY195" s="233"/>
      <c r="GZ195" s="233"/>
      <c r="HA195" s="233"/>
      <c r="HB195" s="233"/>
      <c r="HC195" s="233"/>
      <c r="HD195" s="233"/>
      <c r="HE195" s="233"/>
      <c r="HF195" s="233"/>
      <c r="HG195" s="233"/>
      <c r="HH195" s="233"/>
      <c r="HI195" s="233"/>
      <c r="HJ195" s="233"/>
      <c r="HK195" s="233"/>
      <c r="HL195" s="233"/>
      <c r="HM195" s="233"/>
      <c r="HN195" s="233"/>
      <c r="HO195" s="233"/>
      <c r="HP195" s="233"/>
      <c r="HQ195" s="233"/>
      <c r="HR195" s="233"/>
      <c r="HS195" s="233"/>
      <c r="HT195" s="233"/>
      <c r="HU195" s="233"/>
      <c r="HV195" s="233"/>
      <c r="HW195" s="233"/>
      <c r="HX195" s="233"/>
      <c r="HY195" s="233"/>
      <c r="HZ195" s="233"/>
      <c r="IA195" s="233"/>
      <c r="IB195" s="233"/>
      <c r="IC195" s="233"/>
      <c r="ID195" s="233"/>
      <c r="IE195" s="233"/>
      <c r="IF195" s="233"/>
      <c r="IG195" s="233"/>
      <c r="IH195" s="233"/>
      <c r="II195" s="233"/>
      <c r="IJ195" s="233"/>
      <c r="IK195" s="233"/>
      <c r="IL195" s="233"/>
      <c r="IM195" s="233"/>
      <c r="IN195" s="233"/>
      <c r="IO195" s="233"/>
      <c r="IP195" s="233"/>
      <c r="IQ195" s="233"/>
      <c r="IR195" s="233"/>
      <c r="IS195" s="233"/>
      <c r="IT195" s="233"/>
      <c r="IU195" s="233"/>
    </row>
    <row r="196" spans="1:24" s="220" customFormat="1" ht="15">
      <c r="A196" s="301" t="s">
        <v>701</v>
      </c>
      <c r="B196" s="290"/>
      <c r="C196" s="290"/>
      <c r="D196" s="273"/>
      <c r="E196" s="273"/>
      <c r="F196" s="217"/>
      <c r="G196" s="218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218"/>
      <c r="U196" s="218"/>
      <c r="V196" s="218"/>
      <c r="W196" s="219"/>
      <c r="X196" s="219"/>
    </row>
    <row r="197" spans="1:24" s="220" customFormat="1" ht="15" customHeight="1">
      <c r="A197" s="311"/>
      <c r="B197" s="290"/>
      <c r="C197" s="290"/>
      <c r="D197" s="273"/>
      <c r="E197" s="273"/>
      <c r="F197" s="217"/>
      <c r="G197" s="21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218"/>
      <c r="U197" s="218"/>
      <c r="V197" s="218"/>
      <c r="W197" s="219"/>
      <c r="X197" s="219"/>
    </row>
    <row r="198" spans="1:24" s="220" customFormat="1" ht="41.25" customHeight="1">
      <c r="A198" s="302" t="s">
        <v>486</v>
      </c>
      <c r="B198" s="290"/>
      <c r="C198" s="290"/>
      <c r="D198" s="273"/>
      <c r="E198" s="273"/>
      <c r="F198" s="217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218"/>
      <c r="U198" s="218"/>
      <c r="V198" s="218"/>
      <c r="W198" s="219"/>
      <c r="X198" s="219"/>
    </row>
    <row r="199" spans="1:24" s="220" customFormat="1" ht="17.25" customHeight="1">
      <c r="A199" s="311"/>
      <c r="B199" s="290"/>
      <c r="C199" s="290"/>
      <c r="D199" s="273"/>
      <c r="E199" s="273"/>
      <c r="F199" s="217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218"/>
      <c r="U199" s="218"/>
      <c r="V199" s="218"/>
      <c r="W199" s="219"/>
      <c r="X199" s="219"/>
    </row>
    <row r="200" spans="1:24" s="251" customFormat="1" ht="58.5" customHeight="1">
      <c r="A200" s="312" t="s">
        <v>491</v>
      </c>
      <c r="B200" s="313"/>
      <c r="C200" s="313"/>
      <c r="D200" s="313"/>
      <c r="E200" s="314"/>
      <c r="F200" s="248"/>
      <c r="G200" s="249"/>
      <c r="H200" s="249"/>
      <c r="I200" s="249"/>
      <c r="J200" s="249"/>
      <c r="K200" s="249"/>
      <c r="L200" s="249"/>
      <c r="M200" s="249"/>
      <c r="N200" s="249"/>
      <c r="O200" s="249"/>
      <c r="P200" s="249"/>
      <c r="Q200" s="249"/>
      <c r="R200" s="249"/>
      <c r="S200" s="249"/>
      <c r="T200" s="249"/>
      <c r="U200" s="249"/>
      <c r="V200" s="249"/>
      <c r="W200" s="250"/>
      <c r="X200" s="250"/>
    </row>
    <row r="201" spans="1:24" s="220" customFormat="1" ht="39.75" customHeight="1">
      <c r="A201" s="309" t="s">
        <v>492</v>
      </c>
      <c r="B201" s="290"/>
      <c r="C201" s="290"/>
      <c r="D201" s="273"/>
      <c r="E201" s="273"/>
      <c r="F201" s="217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218"/>
      <c r="U201" s="218"/>
      <c r="V201" s="218"/>
      <c r="W201" s="219"/>
      <c r="X201" s="219"/>
    </row>
    <row r="202" spans="1:24" s="220" customFormat="1" ht="34.5" customHeight="1">
      <c r="A202" s="315" t="s">
        <v>473</v>
      </c>
      <c r="B202" s="290"/>
      <c r="C202" s="290"/>
      <c r="D202" s="273"/>
      <c r="E202" s="273"/>
      <c r="F202" s="217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218"/>
      <c r="U202" s="218"/>
      <c r="V202" s="218"/>
      <c r="W202" s="219"/>
      <c r="X202" s="219"/>
    </row>
    <row r="203" spans="1:24" s="220" customFormat="1" ht="15">
      <c r="A203" s="311"/>
      <c r="B203" s="290"/>
      <c r="C203" s="290"/>
      <c r="D203" s="273"/>
      <c r="E203" s="273"/>
      <c r="F203" s="217"/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218"/>
      <c r="U203" s="218"/>
      <c r="V203" s="218"/>
      <c r="W203" s="219"/>
      <c r="X203" s="219"/>
    </row>
    <row r="204" spans="1:24" s="251" customFormat="1" ht="23.25" customHeight="1">
      <c r="A204" s="312" t="s">
        <v>493</v>
      </c>
      <c r="B204" s="313"/>
      <c r="C204" s="313"/>
      <c r="D204" s="313"/>
      <c r="E204" s="314"/>
      <c r="F204" s="248"/>
      <c r="G204" s="249"/>
      <c r="H204" s="249"/>
      <c r="I204" s="249"/>
      <c r="J204" s="249"/>
      <c r="K204" s="249"/>
      <c r="L204" s="249"/>
      <c r="M204" s="249"/>
      <c r="N204" s="249"/>
      <c r="O204" s="249"/>
      <c r="P204" s="249"/>
      <c r="Q204" s="249"/>
      <c r="R204" s="249"/>
      <c r="S204" s="249"/>
      <c r="T204" s="249"/>
      <c r="U204" s="249"/>
      <c r="V204" s="249"/>
      <c r="W204" s="250"/>
      <c r="X204" s="250"/>
    </row>
    <row r="205" spans="1:24" s="220" customFormat="1" ht="35.25" customHeight="1">
      <c r="A205" s="309" t="s">
        <v>494</v>
      </c>
      <c r="B205" s="290"/>
      <c r="C205" s="290"/>
      <c r="D205" s="273"/>
      <c r="E205" s="273"/>
      <c r="F205" s="217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218"/>
      <c r="U205" s="218"/>
      <c r="V205" s="218"/>
      <c r="W205" s="219"/>
      <c r="X205" s="219"/>
    </row>
    <row r="206" spans="1:24" s="220" customFormat="1" ht="43.5" customHeight="1">
      <c r="A206" s="316" t="s">
        <v>472</v>
      </c>
      <c r="B206" s="290"/>
      <c r="C206" s="290"/>
      <c r="D206" s="273"/>
      <c r="E206" s="273"/>
      <c r="F206" s="217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218"/>
      <c r="U206" s="218"/>
      <c r="V206" s="218"/>
      <c r="W206" s="219"/>
      <c r="X206" s="219"/>
    </row>
    <row r="207" spans="1:24" s="220" customFormat="1" ht="15.75" customHeight="1">
      <c r="A207" s="317"/>
      <c r="B207" s="290"/>
      <c r="C207" s="290"/>
      <c r="D207" s="273"/>
      <c r="E207" s="273"/>
      <c r="F207" s="217"/>
      <c r="G207" s="21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218"/>
      <c r="U207" s="218"/>
      <c r="V207" s="218"/>
      <c r="W207" s="219"/>
      <c r="X207" s="219"/>
    </row>
    <row r="208" spans="1:255" s="234" customFormat="1" ht="14.25">
      <c r="A208" s="291" t="s">
        <v>474</v>
      </c>
      <c r="B208" s="290"/>
      <c r="C208" s="290"/>
      <c r="D208" s="273"/>
      <c r="E208" s="273"/>
      <c r="F208" s="230"/>
      <c r="G208" s="231"/>
      <c r="H208" s="231"/>
      <c r="I208" s="231"/>
      <c r="J208" s="231"/>
      <c r="K208" s="231"/>
      <c r="L208" s="231"/>
      <c r="M208" s="231"/>
      <c r="N208" s="231"/>
      <c r="O208" s="231"/>
      <c r="P208" s="231"/>
      <c r="Q208" s="231"/>
      <c r="R208" s="231"/>
      <c r="S208" s="231"/>
      <c r="T208" s="231"/>
      <c r="U208" s="231"/>
      <c r="V208" s="231"/>
      <c r="W208" s="232"/>
      <c r="X208" s="232"/>
      <c r="Y208" s="233"/>
      <c r="Z208" s="233"/>
      <c r="AA208" s="233"/>
      <c r="AB208" s="233"/>
      <c r="AC208" s="233"/>
      <c r="AD208" s="233"/>
      <c r="AE208" s="233"/>
      <c r="AF208" s="233"/>
      <c r="AG208" s="233"/>
      <c r="AH208" s="233"/>
      <c r="AI208" s="233"/>
      <c r="AJ208" s="233"/>
      <c r="AK208" s="233"/>
      <c r="AL208" s="233"/>
      <c r="AM208" s="233"/>
      <c r="AN208" s="233"/>
      <c r="AO208" s="233"/>
      <c r="AP208" s="233"/>
      <c r="AQ208" s="233"/>
      <c r="AR208" s="233"/>
      <c r="AS208" s="233"/>
      <c r="AT208" s="233"/>
      <c r="AU208" s="233"/>
      <c r="AV208" s="233"/>
      <c r="AW208" s="233"/>
      <c r="AX208" s="233"/>
      <c r="AY208" s="233"/>
      <c r="AZ208" s="233"/>
      <c r="BA208" s="233"/>
      <c r="BB208" s="233"/>
      <c r="BC208" s="233"/>
      <c r="BD208" s="233"/>
      <c r="BE208" s="233"/>
      <c r="BF208" s="233"/>
      <c r="BG208" s="233"/>
      <c r="BH208" s="233"/>
      <c r="BI208" s="233"/>
      <c r="BJ208" s="233"/>
      <c r="BK208" s="233"/>
      <c r="BL208" s="233"/>
      <c r="BM208" s="233"/>
      <c r="BN208" s="233"/>
      <c r="BO208" s="233"/>
      <c r="BP208" s="233"/>
      <c r="BQ208" s="233"/>
      <c r="BR208" s="233"/>
      <c r="BS208" s="233"/>
      <c r="BT208" s="233"/>
      <c r="BU208" s="233"/>
      <c r="BV208" s="233"/>
      <c r="BW208" s="233"/>
      <c r="BX208" s="233"/>
      <c r="BY208" s="233"/>
      <c r="BZ208" s="233"/>
      <c r="CA208" s="233"/>
      <c r="CB208" s="233"/>
      <c r="CC208" s="233"/>
      <c r="CD208" s="233"/>
      <c r="CE208" s="233"/>
      <c r="CF208" s="233"/>
      <c r="CG208" s="233"/>
      <c r="CH208" s="233"/>
      <c r="CI208" s="233"/>
      <c r="CJ208" s="233"/>
      <c r="CK208" s="233"/>
      <c r="CL208" s="233"/>
      <c r="CM208" s="233"/>
      <c r="CN208" s="233"/>
      <c r="CO208" s="233"/>
      <c r="CP208" s="233"/>
      <c r="CQ208" s="233"/>
      <c r="CR208" s="233"/>
      <c r="CS208" s="233"/>
      <c r="CT208" s="233"/>
      <c r="CU208" s="233"/>
      <c r="CV208" s="233"/>
      <c r="CW208" s="233"/>
      <c r="CX208" s="233"/>
      <c r="CY208" s="233"/>
      <c r="CZ208" s="233"/>
      <c r="DA208" s="233"/>
      <c r="DB208" s="233"/>
      <c r="DC208" s="233"/>
      <c r="DD208" s="233"/>
      <c r="DE208" s="233"/>
      <c r="DF208" s="233"/>
      <c r="DG208" s="233"/>
      <c r="DH208" s="233"/>
      <c r="DI208" s="233"/>
      <c r="DJ208" s="233"/>
      <c r="DK208" s="233"/>
      <c r="DL208" s="233"/>
      <c r="DM208" s="233"/>
      <c r="DN208" s="233"/>
      <c r="DO208" s="233"/>
      <c r="DP208" s="233"/>
      <c r="DQ208" s="233"/>
      <c r="DR208" s="233"/>
      <c r="DS208" s="233"/>
      <c r="DT208" s="233"/>
      <c r="DU208" s="233"/>
      <c r="DV208" s="233"/>
      <c r="DW208" s="233"/>
      <c r="DX208" s="233"/>
      <c r="DY208" s="233"/>
      <c r="DZ208" s="233"/>
      <c r="EA208" s="233"/>
      <c r="EB208" s="233"/>
      <c r="EC208" s="233"/>
      <c r="ED208" s="233"/>
      <c r="EE208" s="233"/>
      <c r="EF208" s="233"/>
      <c r="EG208" s="233"/>
      <c r="EH208" s="233"/>
      <c r="EI208" s="233"/>
      <c r="EJ208" s="233"/>
      <c r="EK208" s="233"/>
      <c r="EL208" s="233"/>
      <c r="EM208" s="233"/>
      <c r="EN208" s="233"/>
      <c r="EO208" s="233"/>
      <c r="EP208" s="233"/>
      <c r="EQ208" s="233"/>
      <c r="ER208" s="233"/>
      <c r="ES208" s="233"/>
      <c r="ET208" s="233"/>
      <c r="EU208" s="233"/>
      <c r="EV208" s="233"/>
      <c r="EW208" s="233"/>
      <c r="EX208" s="233"/>
      <c r="EY208" s="233"/>
      <c r="EZ208" s="233"/>
      <c r="FA208" s="233"/>
      <c r="FB208" s="233"/>
      <c r="FC208" s="233"/>
      <c r="FD208" s="233"/>
      <c r="FE208" s="233"/>
      <c r="FF208" s="233"/>
      <c r="FG208" s="233"/>
      <c r="FH208" s="233"/>
      <c r="FI208" s="233"/>
      <c r="FJ208" s="233"/>
      <c r="FK208" s="233"/>
      <c r="FL208" s="233"/>
      <c r="FM208" s="233"/>
      <c r="FN208" s="233"/>
      <c r="FO208" s="233"/>
      <c r="FP208" s="233"/>
      <c r="FQ208" s="233"/>
      <c r="FR208" s="233"/>
      <c r="FS208" s="233"/>
      <c r="FT208" s="233"/>
      <c r="FU208" s="233"/>
      <c r="FV208" s="233"/>
      <c r="FW208" s="233"/>
      <c r="FX208" s="233"/>
      <c r="FY208" s="233"/>
      <c r="FZ208" s="233"/>
      <c r="GA208" s="233"/>
      <c r="GB208" s="233"/>
      <c r="GC208" s="233"/>
      <c r="GD208" s="233"/>
      <c r="GE208" s="233"/>
      <c r="GF208" s="233"/>
      <c r="GG208" s="233"/>
      <c r="GH208" s="233"/>
      <c r="GI208" s="233"/>
      <c r="GJ208" s="233"/>
      <c r="GK208" s="233"/>
      <c r="GL208" s="233"/>
      <c r="GM208" s="233"/>
      <c r="GN208" s="233"/>
      <c r="GO208" s="233"/>
      <c r="GP208" s="233"/>
      <c r="GQ208" s="233"/>
      <c r="GR208" s="233"/>
      <c r="GS208" s="233"/>
      <c r="GT208" s="233"/>
      <c r="GU208" s="233"/>
      <c r="GV208" s="233"/>
      <c r="GW208" s="233"/>
      <c r="GX208" s="233"/>
      <c r="GY208" s="233"/>
      <c r="GZ208" s="233"/>
      <c r="HA208" s="233"/>
      <c r="HB208" s="233"/>
      <c r="HC208" s="233"/>
      <c r="HD208" s="233"/>
      <c r="HE208" s="233"/>
      <c r="HF208" s="233"/>
      <c r="HG208" s="233"/>
      <c r="HH208" s="233"/>
      <c r="HI208" s="233"/>
      <c r="HJ208" s="233"/>
      <c r="HK208" s="233"/>
      <c r="HL208" s="233"/>
      <c r="HM208" s="233"/>
      <c r="HN208" s="233"/>
      <c r="HO208" s="233"/>
      <c r="HP208" s="233"/>
      <c r="HQ208" s="233"/>
      <c r="HR208" s="233"/>
      <c r="HS208" s="233"/>
      <c r="HT208" s="233"/>
      <c r="HU208" s="233"/>
      <c r="HV208" s="233"/>
      <c r="HW208" s="233"/>
      <c r="HX208" s="233"/>
      <c r="HY208" s="233"/>
      <c r="HZ208" s="233"/>
      <c r="IA208" s="233"/>
      <c r="IB208" s="233"/>
      <c r="IC208" s="233"/>
      <c r="ID208" s="233"/>
      <c r="IE208" s="233"/>
      <c r="IF208" s="233"/>
      <c r="IG208" s="233"/>
      <c r="IH208" s="233"/>
      <c r="II208" s="233"/>
      <c r="IJ208" s="233"/>
      <c r="IK208" s="233"/>
      <c r="IL208" s="233"/>
      <c r="IM208" s="233"/>
      <c r="IN208" s="233"/>
      <c r="IO208" s="233"/>
      <c r="IP208" s="233"/>
      <c r="IQ208" s="233"/>
      <c r="IR208" s="233"/>
      <c r="IS208" s="233"/>
      <c r="IT208" s="233"/>
      <c r="IU208" s="233"/>
    </row>
    <row r="209" spans="1:24" s="220" customFormat="1" ht="9.75" customHeight="1">
      <c r="A209" s="309"/>
      <c r="B209" s="290"/>
      <c r="C209" s="290"/>
      <c r="D209" s="273"/>
      <c r="E209" s="273"/>
      <c r="F209" s="217"/>
      <c r="G209" s="218"/>
      <c r="H209" s="218"/>
      <c r="I209" s="218"/>
      <c r="J209" s="218"/>
      <c r="K209" s="218"/>
      <c r="L209" s="218"/>
      <c r="M209" s="218"/>
      <c r="N209" s="218"/>
      <c r="O209" s="218"/>
      <c r="P209" s="218"/>
      <c r="Q209" s="218"/>
      <c r="R209" s="218"/>
      <c r="S209" s="218"/>
      <c r="T209" s="218"/>
      <c r="U209" s="218"/>
      <c r="V209" s="218"/>
      <c r="W209" s="219"/>
      <c r="X209" s="219"/>
    </row>
    <row r="210" spans="1:24" s="220" customFormat="1" ht="25.5">
      <c r="A210" s="300" t="s">
        <v>754</v>
      </c>
      <c r="B210" s="290"/>
      <c r="C210" s="290"/>
      <c r="D210" s="273"/>
      <c r="E210" s="273"/>
      <c r="F210" s="217"/>
      <c r="G210" s="21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218"/>
      <c r="U210" s="218"/>
      <c r="V210" s="218"/>
      <c r="W210" s="219"/>
      <c r="X210" s="219"/>
    </row>
    <row r="211" spans="1:24" s="220" customFormat="1" ht="31.5" customHeight="1">
      <c r="A211" s="309" t="s">
        <v>740</v>
      </c>
      <c r="B211" s="290"/>
      <c r="C211" s="290"/>
      <c r="D211" s="273"/>
      <c r="E211" s="273"/>
      <c r="F211" s="217"/>
      <c r="G211" s="218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218"/>
      <c r="U211" s="218"/>
      <c r="V211" s="218"/>
      <c r="W211" s="219"/>
      <c r="X211" s="219"/>
    </row>
    <row r="212" spans="1:24" s="220" customFormat="1" ht="15">
      <c r="A212" s="309"/>
      <c r="B212" s="290"/>
      <c r="C212" s="290"/>
      <c r="D212" s="273"/>
      <c r="E212" s="273"/>
      <c r="F212" s="217"/>
      <c r="G212" s="218"/>
      <c r="H212" s="218"/>
      <c r="I212" s="218"/>
      <c r="J212" s="218"/>
      <c r="K212" s="218"/>
      <c r="L212" s="218"/>
      <c r="M212" s="218"/>
      <c r="N212" s="218"/>
      <c r="O212" s="218"/>
      <c r="P212" s="218"/>
      <c r="Q212" s="218"/>
      <c r="R212" s="218"/>
      <c r="S212" s="218"/>
      <c r="T212" s="218"/>
      <c r="U212" s="218"/>
      <c r="V212" s="218"/>
      <c r="W212" s="219"/>
      <c r="X212" s="219"/>
    </row>
    <row r="213" spans="1:24" s="255" customFormat="1" ht="24.75" customHeight="1">
      <c r="A213" s="318" t="s">
        <v>773</v>
      </c>
      <c r="B213" s="319"/>
      <c r="C213" s="319"/>
      <c r="D213" s="319"/>
      <c r="E213" s="320"/>
      <c r="F213" s="252"/>
      <c r="G213" s="253"/>
      <c r="H213" s="253"/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253"/>
      <c r="T213" s="253"/>
      <c r="U213" s="253"/>
      <c r="V213" s="253"/>
      <c r="W213" s="254"/>
      <c r="X213" s="254"/>
    </row>
    <row r="214" spans="1:24" s="255" customFormat="1" ht="15.75">
      <c r="A214" s="301" t="s">
        <v>517</v>
      </c>
      <c r="B214" s="290"/>
      <c r="C214" s="321"/>
      <c r="D214" s="320"/>
      <c r="E214" s="320"/>
      <c r="F214" s="252"/>
      <c r="G214" s="253"/>
      <c r="H214" s="253"/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253"/>
      <c r="T214" s="253"/>
      <c r="U214" s="253"/>
      <c r="V214" s="253"/>
      <c r="W214" s="254"/>
      <c r="X214" s="254"/>
    </row>
    <row r="215" spans="1:24" s="255" customFormat="1" ht="34.5" customHeight="1">
      <c r="A215" s="302" t="s">
        <v>148</v>
      </c>
      <c r="B215" s="290"/>
      <c r="C215" s="321"/>
      <c r="D215" s="320"/>
      <c r="E215" s="320"/>
      <c r="F215" s="252"/>
      <c r="G215" s="253"/>
      <c r="H215" s="253"/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253"/>
      <c r="T215" s="253"/>
      <c r="U215" s="253"/>
      <c r="V215" s="253"/>
      <c r="W215" s="254"/>
      <c r="X215" s="254"/>
    </row>
    <row r="216" spans="1:24" s="220" customFormat="1" ht="39" customHeight="1">
      <c r="A216" s="309" t="s">
        <v>503</v>
      </c>
      <c r="B216" s="290"/>
      <c r="C216" s="290"/>
      <c r="D216" s="273"/>
      <c r="E216" s="273"/>
      <c r="F216" s="217"/>
      <c r="G216" s="218"/>
      <c r="H216" s="218"/>
      <c r="I216" s="218"/>
      <c r="J216" s="218"/>
      <c r="K216" s="218"/>
      <c r="L216" s="218"/>
      <c r="M216" s="218"/>
      <c r="N216" s="218"/>
      <c r="O216" s="218"/>
      <c r="P216" s="218"/>
      <c r="Q216" s="218"/>
      <c r="R216" s="218"/>
      <c r="S216" s="218"/>
      <c r="T216" s="218"/>
      <c r="U216" s="218"/>
      <c r="V216" s="218"/>
      <c r="W216" s="219"/>
      <c r="X216" s="219"/>
    </row>
    <row r="217" spans="1:24" s="220" customFormat="1" ht="15">
      <c r="A217" s="322" t="s">
        <v>145</v>
      </c>
      <c r="B217" s="290"/>
      <c r="C217" s="290"/>
      <c r="D217" s="273"/>
      <c r="E217" s="273"/>
      <c r="F217" s="217"/>
      <c r="G217" s="218"/>
      <c r="H217" s="218"/>
      <c r="I217" s="218"/>
      <c r="J217" s="218"/>
      <c r="K217" s="218"/>
      <c r="L217" s="218"/>
      <c r="M217" s="218"/>
      <c r="N217" s="218"/>
      <c r="O217" s="218"/>
      <c r="P217" s="218"/>
      <c r="Q217" s="218"/>
      <c r="R217" s="218"/>
      <c r="S217" s="218"/>
      <c r="T217" s="218"/>
      <c r="U217" s="218"/>
      <c r="V217" s="218"/>
      <c r="W217" s="219"/>
      <c r="X217" s="219"/>
    </row>
    <row r="218" spans="1:24" s="220" customFormat="1" ht="15">
      <c r="A218" s="322" t="s">
        <v>146</v>
      </c>
      <c r="B218" s="290"/>
      <c r="C218" s="290"/>
      <c r="D218" s="273"/>
      <c r="E218" s="273"/>
      <c r="F218" s="217"/>
      <c r="G218" s="218"/>
      <c r="H218" s="218"/>
      <c r="I218" s="218"/>
      <c r="J218" s="218"/>
      <c r="K218" s="218"/>
      <c r="L218" s="218"/>
      <c r="M218" s="218"/>
      <c r="N218" s="218"/>
      <c r="O218" s="218"/>
      <c r="P218" s="218"/>
      <c r="Q218" s="218"/>
      <c r="R218" s="218"/>
      <c r="S218" s="218"/>
      <c r="T218" s="218"/>
      <c r="U218" s="218"/>
      <c r="V218" s="218"/>
      <c r="W218" s="219"/>
      <c r="X218" s="219"/>
    </row>
    <row r="219" spans="1:24" s="220" customFormat="1" ht="15">
      <c r="A219" s="322" t="s">
        <v>147</v>
      </c>
      <c r="B219" s="290"/>
      <c r="C219" s="290"/>
      <c r="D219" s="273"/>
      <c r="E219" s="273"/>
      <c r="F219" s="217"/>
      <c r="G219" s="218"/>
      <c r="H219" s="218"/>
      <c r="I219" s="218"/>
      <c r="J219" s="218"/>
      <c r="K219" s="218"/>
      <c r="L219" s="218"/>
      <c r="M219" s="218"/>
      <c r="N219" s="218"/>
      <c r="O219" s="218"/>
      <c r="P219" s="218"/>
      <c r="Q219" s="218"/>
      <c r="R219" s="218"/>
      <c r="S219" s="218"/>
      <c r="T219" s="218"/>
      <c r="U219" s="218"/>
      <c r="V219" s="218"/>
      <c r="W219" s="219"/>
      <c r="X219" s="219"/>
    </row>
    <row r="220" spans="1:24" s="220" customFormat="1" ht="15">
      <c r="A220" s="322" t="s">
        <v>505</v>
      </c>
      <c r="B220" s="290"/>
      <c r="C220" s="290"/>
      <c r="D220" s="273"/>
      <c r="E220" s="273"/>
      <c r="F220" s="217"/>
      <c r="G220" s="218"/>
      <c r="H220" s="218"/>
      <c r="I220" s="218"/>
      <c r="J220" s="218"/>
      <c r="K220" s="218"/>
      <c r="L220" s="218"/>
      <c r="M220" s="218"/>
      <c r="N220" s="218"/>
      <c r="O220" s="218"/>
      <c r="P220" s="218"/>
      <c r="Q220" s="218"/>
      <c r="R220" s="218"/>
      <c r="S220" s="218"/>
      <c r="T220" s="218"/>
      <c r="U220" s="218"/>
      <c r="V220" s="218"/>
      <c r="W220" s="219"/>
      <c r="X220" s="219"/>
    </row>
    <row r="221" spans="1:24" s="220" customFormat="1" ht="15">
      <c r="A221" s="323" t="s">
        <v>149</v>
      </c>
      <c r="B221" s="290"/>
      <c r="C221" s="324"/>
      <c r="D221" s="273"/>
      <c r="E221" s="273"/>
      <c r="F221" s="217"/>
      <c r="G221" s="218"/>
      <c r="H221" s="218"/>
      <c r="I221" s="218"/>
      <c r="J221" s="218"/>
      <c r="K221" s="218"/>
      <c r="L221" s="218"/>
      <c r="M221" s="218"/>
      <c r="N221" s="218"/>
      <c r="O221" s="218"/>
      <c r="P221" s="218"/>
      <c r="Q221" s="218"/>
      <c r="R221" s="218"/>
      <c r="S221" s="218"/>
      <c r="T221" s="218"/>
      <c r="U221" s="218"/>
      <c r="V221" s="218"/>
      <c r="W221" s="219"/>
      <c r="X221" s="219"/>
    </row>
    <row r="222" spans="1:24" s="220" customFormat="1" ht="15">
      <c r="A222" s="322" t="s">
        <v>145</v>
      </c>
      <c r="B222" s="290"/>
      <c r="C222" s="324"/>
      <c r="D222" s="273"/>
      <c r="E222" s="273"/>
      <c r="F222" s="217"/>
      <c r="G222" s="218"/>
      <c r="H222" s="218"/>
      <c r="I222" s="218"/>
      <c r="J222" s="218"/>
      <c r="K222" s="218"/>
      <c r="L222" s="218"/>
      <c r="M222" s="218"/>
      <c r="N222" s="218"/>
      <c r="O222" s="218"/>
      <c r="P222" s="218"/>
      <c r="Q222" s="218"/>
      <c r="R222" s="218"/>
      <c r="S222" s="218"/>
      <c r="T222" s="218"/>
      <c r="U222" s="218"/>
      <c r="V222" s="218"/>
      <c r="W222" s="219"/>
      <c r="X222" s="219"/>
    </row>
    <row r="223" spans="1:24" s="220" customFormat="1" ht="15">
      <c r="A223" s="322" t="s">
        <v>146</v>
      </c>
      <c r="B223" s="290"/>
      <c r="C223" s="324"/>
      <c r="D223" s="273"/>
      <c r="E223" s="273"/>
      <c r="F223" s="217"/>
      <c r="G223" s="218"/>
      <c r="H223" s="218"/>
      <c r="I223" s="218"/>
      <c r="J223" s="218"/>
      <c r="K223" s="218"/>
      <c r="L223" s="218"/>
      <c r="M223" s="218"/>
      <c r="N223" s="218"/>
      <c r="O223" s="218"/>
      <c r="P223" s="218"/>
      <c r="Q223" s="218"/>
      <c r="R223" s="218"/>
      <c r="S223" s="218"/>
      <c r="T223" s="218"/>
      <c r="U223" s="218"/>
      <c r="V223" s="218"/>
      <c r="W223" s="219"/>
      <c r="X223" s="219"/>
    </row>
    <row r="224" spans="1:24" s="220" customFormat="1" ht="15">
      <c r="A224" s="322" t="s">
        <v>147</v>
      </c>
      <c r="B224" s="290"/>
      <c r="C224" s="324"/>
      <c r="D224" s="273"/>
      <c r="E224" s="273"/>
      <c r="F224" s="217"/>
      <c r="G224" s="218"/>
      <c r="H224" s="218"/>
      <c r="I224" s="218"/>
      <c r="J224" s="218"/>
      <c r="K224" s="218"/>
      <c r="L224" s="218"/>
      <c r="M224" s="218"/>
      <c r="N224" s="218"/>
      <c r="O224" s="218"/>
      <c r="P224" s="218"/>
      <c r="Q224" s="218"/>
      <c r="R224" s="218"/>
      <c r="S224" s="218"/>
      <c r="T224" s="218"/>
      <c r="U224" s="218"/>
      <c r="V224" s="218"/>
      <c r="W224" s="219"/>
      <c r="X224" s="219"/>
    </row>
    <row r="225" spans="1:24" s="220" customFormat="1" ht="15">
      <c r="A225" s="322" t="s">
        <v>505</v>
      </c>
      <c r="B225" s="290"/>
      <c r="C225" s="324"/>
      <c r="D225" s="273"/>
      <c r="E225" s="273"/>
      <c r="F225" s="217"/>
      <c r="G225" s="218"/>
      <c r="H225" s="218"/>
      <c r="I225" s="218"/>
      <c r="J225" s="218"/>
      <c r="K225" s="218"/>
      <c r="L225" s="218"/>
      <c r="M225" s="218"/>
      <c r="N225" s="218"/>
      <c r="O225" s="218"/>
      <c r="P225" s="218"/>
      <c r="Q225" s="218"/>
      <c r="R225" s="218"/>
      <c r="S225" s="218"/>
      <c r="T225" s="218"/>
      <c r="U225" s="218"/>
      <c r="V225" s="218"/>
      <c r="W225" s="219"/>
      <c r="X225" s="219"/>
    </row>
    <row r="226" spans="1:255" s="234" customFormat="1" ht="18" customHeight="1">
      <c r="A226" s="325" t="s">
        <v>462</v>
      </c>
      <c r="B226" s="326"/>
      <c r="C226" s="290"/>
      <c r="D226" s="273"/>
      <c r="E226" s="273"/>
      <c r="F226" s="230"/>
      <c r="G226" s="231"/>
      <c r="H226" s="231"/>
      <c r="I226" s="231"/>
      <c r="J226" s="231"/>
      <c r="K226" s="231"/>
      <c r="L226" s="231"/>
      <c r="M226" s="231"/>
      <c r="N226" s="231"/>
      <c r="O226" s="231"/>
      <c r="P226" s="231"/>
      <c r="Q226" s="231"/>
      <c r="R226" s="231"/>
      <c r="S226" s="231"/>
      <c r="T226" s="231"/>
      <c r="U226" s="231"/>
      <c r="V226" s="231"/>
      <c r="W226" s="232"/>
      <c r="X226" s="232"/>
      <c r="Y226" s="233"/>
      <c r="Z226" s="233"/>
      <c r="AA226" s="233"/>
      <c r="AB226" s="233"/>
      <c r="AC226" s="233"/>
      <c r="AD226" s="233"/>
      <c r="AE226" s="233"/>
      <c r="AF226" s="233"/>
      <c r="AG226" s="233"/>
      <c r="AH226" s="233"/>
      <c r="AI226" s="233"/>
      <c r="AJ226" s="233"/>
      <c r="AK226" s="233"/>
      <c r="AL226" s="233"/>
      <c r="AM226" s="233"/>
      <c r="AN226" s="233"/>
      <c r="AO226" s="233"/>
      <c r="AP226" s="233"/>
      <c r="AQ226" s="233"/>
      <c r="AR226" s="233"/>
      <c r="AS226" s="233"/>
      <c r="AT226" s="233"/>
      <c r="AU226" s="233"/>
      <c r="AV226" s="233"/>
      <c r="AW226" s="233"/>
      <c r="AX226" s="233"/>
      <c r="AY226" s="233"/>
      <c r="AZ226" s="233"/>
      <c r="BA226" s="233"/>
      <c r="BB226" s="233"/>
      <c r="BC226" s="233"/>
      <c r="BD226" s="233"/>
      <c r="BE226" s="233"/>
      <c r="BF226" s="233"/>
      <c r="BG226" s="233"/>
      <c r="BH226" s="233"/>
      <c r="BI226" s="233"/>
      <c r="BJ226" s="233"/>
      <c r="BK226" s="233"/>
      <c r="BL226" s="233"/>
      <c r="BM226" s="233"/>
      <c r="BN226" s="233"/>
      <c r="BO226" s="233"/>
      <c r="BP226" s="233"/>
      <c r="BQ226" s="233"/>
      <c r="BR226" s="233"/>
      <c r="BS226" s="233"/>
      <c r="BT226" s="233"/>
      <c r="BU226" s="233"/>
      <c r="BV226" s="233"/>
      <c r="BW226" s="233"/>
      <c r="BX226" s="233"/>
      <c r="BY226" s="233"/>
      <c r="BZ226" s="233"/>
      <c r="CA226" s="233"/>
      <c r="CB226" s="233"/>
      <c r="CC226" s="233"/>
      <c r="CD226" s="233"/>
      <c r="CE226" s="233"/>
      <c r="CF226" s="233"/>
      <c r="CG226" s="233"/>
      <c r="CH226" s="233"/>
      <c r="CI226" s="233"/>
      <c r="CJ226" s="233"/>
      <c r="CK226" s="233"/>
      <c r="CL226" s="233"/>
      <c r="CM226" s="233"/>
      <c r="CN226" s="233"/>
      <c r="CO226" s="233"/>
      <c r="CP226" s="233"/>
      <c r="CQ226" s="233"/>
      <c r="CR226" s="233"/>
      <c r="CS226" s="233"/>
      <c r="CT226" s="233"/>
      <c r="CU226" s="233"/>
      <c r="CV226" s="233"/>
      <c r="CW226" s="233"/>
      <c r="CX226" s="233"/>
      <c r="CY226" s="233"/>
      <c r="CZ226" s="233"/>
      <c r="DA226" s="233"/>
      <c r="DB226" s="233"/>
      <c r="DC226" s="233"/>
      <c r="DD226" s="233"/>
      <c r="DE226" s="233"/>
      <c r="DF226" s="233"/>
      <c r="DG226" s="233"/>
      <c r="DH226" s="233"/>
      <c r="DI226" s="233"/>
      <c r="DJ226" s="233"/>
      <c r="DK226" s="233"/>
      <c r="DL226" s="233"/>
      <c r="DM226" s="233"/>
      <c r="DN226" s="233"/>
      <c r="DO226" s="233"/>
      <c r="DP226" s="233"/>
      <c r="DQ226" s="233"/>
      <c r="DR226" s="233"/>
      <c r="DS226" s="233"/>
      <c r="DT226" s="233"/>
      <c r="DU226" s="233"/>
      <c r="DV226" s="233"/>
      <c r="DW226" s="233"/>
      <c r="DX226" s="233"/>
      <c r="DY226" s="233"/>
      <c r="DZ226" s="233"/>
      <c r="EA226" s="233"/>
      <c r="EB226" s="233"/>
      <c r="EC226" s="233"/>
      <c r="ED226" s="233"/>
      <c r="EE226" s="233"/>
      <c r="EF226" s="233"/>
      <c r="EG226" s="233"/>
      <c r="EH226" s="233"/>
      <c r="EI226" s="233"/>
      <c r="EJ226" s="233"/>
      <c r="EK226" s="233"/>
      <c r="EL226" s="233"/>
      <c r="EM226" s="233"/>
      <c r="EN226" s="233"/>
      <c r="EO226" s="233"/>
      <c r="EP226" s="233"/>
      <c r="EQ226" s="233"/>
      <c r="ER226" s="233"/>
      <c r="ES226" s="233"/>
      <c r="ET226" s="233"/>
      <c r="EU226" s="233"/>
      <c r="EV226" s="233"/>
      <c r="EW226" s="233"/>
      <c r="EX226" s="233"/>
      <c r="EY226" s="233"/>
      <c r="EZ226" s="233"/>
      <c r="FA226" s="233"/>
      <c r="FB226" s="233"/>
      <c r="FC226" s="233"/>
      <c r="FD226" s="233"/>
      <c r="FE226" s="233"/>
      <c r="FF226" s="233"/>
      <c r="FG226" s="233"/>
      <c r="FH226" s="233"/>
      <c r="FI226" s="233"/>
      <c r="FJ226" s="233"/>
      <c r="FK226" s="233"/>
      <c r="FL226" s="233"/>
      <c r="FM226" s="233"/>
      <c r="FN226" s="233"/>
      <c r="FO226" s="233"/>
      <c r="FP226" s="233"/>
      <c r="FQ226" s="233"/>
      <c r="FR226" s="233"/>
      <c r="FS226" s="233"/>
      <c r="FT226" s="233"/>
      <c r="FU226" s="233"/>
      <c r="FV226" s="233"/>
      <c r="FW226" s="233"/>
      <c r="FX226" s="233"/>
      <c r="FY226" s="233"/>
      <c r="FZ226" s="233"/>
      <c r="GA226" s="233"/>
      <c r="GB226" s="233"/>
      <c r="GC226" s="233"/>
      <c r="GD226" s="233"/>
      <c r="GE226" s="233"/>
      <c r="GF226" s="233"/>
      <c r="GG226" s="233"/>
      <c r="GH226" s="233"/>
      <c r="GI226" s="233"/>
      <c r="GJ226" s="233"/>
      <c r="GK226" s="233"/>
      <c r="GL226" s="233"/>
      <c r="GM226" s="233"/>
      <c r="GN226" s="233"/>
      <c r="GO226" s="233"/>
      <c r="GP226" s="233"/>
      <c r="GQ226" s="233"/>
      <c r="GR226" s="233"/>
      <c r="GS226" s="233"/>
      <c r="GT226" s="233"/>
      <c r="GU226" s="233"/>
      <c r="GV226" s="233"/>
      <c r="GW226" s="233"/>
      <c r="GX226" s="233"/>
      <c r="GY226" s="233"/>
      <c r="GZ226" s="233"/>
      <c r="HA226" s="233"/>
      <c r="HB226" s="233"/>
      <c r="HC226" s="233"/>
      <c r="HD226" s="233"/>
      <c r="HE226" s="233"/>
      <c r="HF226" s="233"/>
      <c r="HG226" s="233"/>
      <c r="HH226" s="233"/>
      <c r="HI226" s="233"/>
      <c r="HJ226" s="233"/>
      <c r="HK226" s="233"/>
      <c r="HL226" s="233"/>
      <c r="HM226" s="233"/>
      <c r="HN226" s="233"/>
      <c r="HO226" s="233"/>
      <c r="HP226" s="233"/>
      <c r="HQ226" s="233"/>
      <c r="HR226" s="233"/>
      <c r="HS226" s="233"/>
      <c r="HT226" s="233"/>
      <c r="HU226" s="233"/>
      <c r="HV226" s="233"/>
      <c r="HW226" s="233"/>
      <c r="HX226" s="233"/>
      <c r="HY226" s="233"/>
      <c r="HZ226" s="233"/>
      <c r="IA226" s="233"/>
      <c r="IB226" s="233"/>
      <c r="IC226" s="233"/>
      <c r="ID226" s="233"/>
      <c r="IE226" s="233"/>
      <c r="IF226" s="233"/>
      <c r="IG226" s="233"/>
      <c r="IH226" s="233"/>
      <c r="II226" s="233"/>
      <c r="IJ226" s="233"/>
      <c r="IK226" s="233"/>
      <c r="IL226" s="233"/>
      <c r="IM226" s="233"/>
      <c r="IN226" s="233"/>
      <c r="IO226" s="233"/>
      <c r="IP226" s="233"/>
      <c r="IQ226" s="233"/>
      <c r="IR226" s="233"/>
      <c r="IS226" s="233"/>
      <c r="IT226" s="233"/>
      <c r="IU226" s="233"/>
    </row>
    <row r="227" spans="1:24" s="220" customFormat="1" ht="15">
      <c r="A227" s="309" t="s">
        <v>702</v>
      </c>
      <c r="B227" s="290"/>
      <c r="C227" s="290"/>
      <c r="D227" s="273"/>
      <c r="E227" s="273"/>
      <c r="F227" s="217"/>
      <c r="G227" s="218"/>
      <c r="H227" s="218"/>
      <c r="I227" s="218"/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218"/>
      <c r="U227" s="218"/>
      <c r="V227" s="218"/>
      <c r="W227" s="219"/>
      <c r="X227" s="219"/>
    </row>
    <row r="228" spans="1:24" s="220" customFormat="1" ht="15">
      <c r="A228" s="302" t="s">
        <v>463</v>
      </c>
      <c r="B228" s="290"/>
      <c r="C228" s="290"/>
      <c r="D228" s="273"/>
      <c r="E228" s="273"/>
      <c r="F228" s="217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218"/>
      <c r="U228" s="218"/>
      <c r="V228" s="218"/>
      <c r="W228" s="219"/>
      <c r="X228" s="219"/>
    </row>
    <row r="229" spans="1:24" s="220" customFormat="1" ht="15">
      <c r="A229" s="327" t="s">
        <v>703</v>
      </c>
      <c r="B229" s="290"/>
      <c r="C229" s="290"/>
      <c r="D229" s="273"/>
      <c r="E229" s="273"/>
      <c r="F229" s="217"/>
      <c r="G229" s="218"/>
      <c r="H229" s="218"/>
      <c r="I229" s="218"/>
      <c r="J229" s="218"/>
      <c r="K229" s="218"/>
      <c r="L229" s="218"/>
      <c r="M229" s="218"/>
      <c r="N229" s="218"/>
      <c r="O229" s="218"/>
      <c r="P229" s="218"/>
      <c r="Q229" s="218"/>
      <c r="R229" s="218"/>
      <c r="S229" s="218"/>
      <c r="T229" s="218"/>
      <c r="U229" s="218"/>
      <c r="V229" s="218"/>
      <c r="W229" s="219"/>
      <c r="X229" s="219"/>
    </row>
    <row r="230" spans="1:24" s="220" customFormat="1" ht="12" customHeight="1">
      <c r="A230" s="327"/>
      <c r="B230" s="290"/>
      <c r="C230" s="290"/>
      <c r="D230" s="273"/>
      <c r="E230" s="273"/>
      <c r="F230" s="217"/>
      <c r="G230" s="218"/>
      <c r="H230" s="218"/>
      <c r="I230" s="218"/>
      <c r="J230" s="218"/>
      <c r="K230" s="218"/>
      <c r="L230" s="218"/>
      <c r="M230" s="218"/>
      <c r="N230" s="218"/>
      <c r="O230" s="218"/>
      <c r="P230" s="218"/>
      <c r="Q230" s="218"/>
      <c r="R230" s="218"/>
      <c r="S230" s="218"/>
      <c r="T230" s="218"/>
      <c r="U230" s="218"/>
      <c r="V230" s="218"/>
      <c r="W230" s="219"/>
      <c r="X230" s="219"/>
    </row>
    <row r="231" spans="1:24" s="220" customFormat="1" ht="15">
      <c r="A231" s="302" t="s">
        <v>729</v>
      </c>
      <c r="B231" s="290"/>
      <c r="C231" s="290"/>
      <c r="D231" s="273"/>
      <c r="E231" s="273"/>
      <c r="F231" s="217"/>
      <c r="G231" s="218"/>
      <c r="H231" s="218"/>
      <c r="I231" s="218"/>
      <c r="J231" s="218"/>
      <c r="K231" s="218"/>
      <c r="L231" s="218"/>
      <c r="M231" s="218"/>
      <c r="N231" s="218"/>
      <c r="O231" s="218"/>
      <c r="P231" s="218"/>
      <c r="Q231" s="218"/>
      <c r="R231" s="218"/>
      <c r="S231" s="218"/>
      <c r="T231" s="218"/>
      <c r="U231" s="218"/>
      <c r="V231" s="218"/>
      <c r="W231" s="219"/>
      <c r="X231" s="219"/>
    </row>
    <row r="232" spans="1:24" s="220" customFormat="1" ht="15" customHeight="1">
      <c r="A232" s="328"/>
      <c r="B232" s="290"/>
      <c r="C232" s="290"/>
      <c r="D232" s="273"/>
      <c r="E232" s="273"/>
      <c r="F232" s="217"/>
      <c r="G232" s="218"/>
      <c r="H232" s="218"/>
      <c r="I232" s="218"/>
      <c r="J232" s="218"/>
      <c r="K232" s="218"/>
      <c r="L232" s="218"/>
      <c r="M232" s="218"/>
      <c r="N232" s="218"/>
      <c r="O232" s="218"/>
      <c r="P232" s="218"/>
      <c r="Q232" s="218"/>
      <c r="R232" s="218"/>
      <c r="S232" s="218"/>
      <c r="T232" s="218"/>
      <c r="U232" s="218"/>
      <c r="V232" s="218"/>
      <c r="W232" s="219"/>
      <c r="X232" s="219"/>
    </row>
    <row r="233" spans="1:24" s="220" customFormat="1" ht="15">
      <c r="A233" s="291" t="s">
        <v>383</v>
      </c>
      <c r="B233" s="290"/>
      <c r="C233" s="290"/>
      <c r="D233" s="273"/>
      <c r="E233" s="273"/>
      <c r="F233" s="217"/>
      <c r="G233" s="218"/>
      <c r="H233" s="218"/>
      <c r="I233" s="218"/>
      <c r="J233" s="218"/>
      <c r="K233" s="218"/>
      <c r="L233" s="218"/>
      <c r="M233" s="218"/>
      <c r="N233" s="218"/>
      <c r="O233" s="218"/>
      <c r="P233" s="218"/>
      <c r="Q233" s="218"/>
      <c r="R233" s="218"/>
      <c r="S233" s="218"/>
      <c r="T233" s="218"/>
      <c r="U233" s="218"/>
      <c r="V233" s="218"/>
      <c r="W233" s="219"/>
      <c r="X233" s="219"/>
    </row>
    <row r="234" spans="1:24" s="220" customFormat="1" ht="13.5" customHeight="1">
      <c r="A234" s="269"/>
      <c r="B234" s="290"/>
      <c r="C234" s="290"/>
      <c r="D234" s="273"/>
      <c r="E234" s="273"/>
      <c r="F234" s="217"/>
      <c r="G234" s="218"/>
      <c r="H234" s="218"/>
      <c r="I234" s="218"/>
      <c r="J234" s="218"/>
      <c r="K234" s="218"/>
      <c r="L234" s="218"/>
      <c r="M234" s="218"/>
      <c r="N234" s="218"/>
      <c r="O234" s="218"/>
      <c r="P234" s="218"/>
      <c r="Q234" s="218"/>
      <c r="R234" s="218"/>
      <c r="S234" s="218"/>
      <c r="T234" s="218"/>
      <c r="U234" s="218"/>
      <c r="V234" s="218"/>
      <c r="W234" s="219"/>
      <c r="X234" s="219"/>
    </row>
    <row r="235" spans="1:24" s="220" customFormat="1" ht="15">
      <c r="A235" s="329" t="s">
        <v>385</v>
      </c>
      <c r="B235" s="290"/>
      <c r="C235" s="290"/>
      <c r="D235" s="273"/>
      <c r="E235" s="273"/>
      <c r="F235" s="217"/>
      <c r="G235" s="218"/>
      <c r="H235" s="218"/>
      <c r="I235" s="218"/>
      <c r="J235" s="218"/>
      <c r="K235" s="218"/>
      <c r="L235" s="218"/>
      <c r="M235" s="218"/>
      <c r="N235" s="218"/>
      <c r="O235" s="218"/>
      <c r="P235" s="218"/>
      <c r="Q235" s="218"/>
      <c r="R235" s="218"/>
      <c r="S235" s="218"/>
      <c r="T235" s="218"/>
      <c r="U235" s="218"/>
      <c r="V235" s="218"/>
      <c r="W235" s="219"/>
      <c r="X235" s="219"/>
    </row>
    <row r="236" spans="1:24" s="220" customFormat="1" ht="42" customHeight="1">
      <c r="A236" s="330" t="s">
        <v>38</v>
      </c>
      <c r="B236" s="290"/>
      <c r="C236" s="290"/>
      <c r="D236" s="273"/>
      <c r="E236" s="273"/>
      <c r="F236" s="217"/>
      <c r="G236" s="218"/>
      <c r="H236" s="218"/>
      <c r="I236" s="218"/>
      <c r="J236" s="218"/>
      <c r="K236" s="218"/>
      <c r="L236" s="218"/>
      <c r="M236" s="218"/>
      <c r="N236" s="218"/>
      <c r="O236" s="218"/>
      <c r="P236" s="218"/>
      <c r="Q236" s="218"/>
      <c r="R236" s="218"/>
      <c r="S236" s="218"/>
      <c r="T236" s="218"/>
      <c r="U236" s="218"/>
      <c r="V236" s="218"/>
      <c r="W236" s="219"/>
      <c r="X236" s="219"/>
    </row>
    <row r="237" spans="1:24" s="220" customFormat="1" ht="15">
      <c r="A237" s="331" t="s">
        <v>730</v>
      </c>
      <c r="B237" s="290"/>
      <c r="C237" s="290"/>
      <c r="D237" s="273"/>
      <c r="E237" s="273"/>
      <c r="F237" s="217"/>
      <c r="G237" s="218"/>
      <c r="H237" s="218"/>
      <c r="I237" s="218"/>
      <c r="J237" s="218"/>
      <c r="K237" s="218"/>
      <c r="L237" s="218"/>
      <c r="M237" s="218"/>
      <c r="N237" s="218"/>
      <c r="O237" s="218"/>
      <c r="P237" s="218"/>
      <c r="Q237" s="218"/>
      <c r="R237" s="218"/>
      <c r="S237" s="218"/>
      <c r="T237" s="218"/>
      <c r="U237" s="218"/>
      <c r="V237" s="218"/>
      <c r="W237" s="219"/>
      <c r="X237" s="219"/>
    </row>
    <row r="238" spans="1:24" s="220" customFormat="1" ht="8.25" customHeight="1">
      <c r="A238" s="301"/>
      <c r="B238" s="290"/>
      <c r="C238" s="290"/>
      <c r="D238" s="273"/>
      <c r="E238" s="273"/>
      <c r="F238" s="217"/>
      <c r="G238" s="218"/>
      <c r="H238" s="218"/>
      <c r="I238" s="218"/>
      <c r="J238" s="218"/>
      <c r="K238" s="218"/>
      <c r="L238" s="218"/>
      <c r="M238" s="218"/>
      <c r="N238" s="218"/>
      <c r="O238" s="218"/>
      <c r="P238" s="218"/>
      <c r="Q238" s="218"/>
      <c r="R238" s="218"/>
      <c r="S238" s="218"/>
      <c r="T238" s="218"/>
      <c r="U238" s="218"/>
      <c r="V238" s="218"/>
      <c r="W238" s="219"/>
      <c r="X238" s="219"/>
    </row>
    <row r="239" spans="1:24" s="220" customFormat="1" ht="25.5">
      <c r="A239" s="300" t="s">
        <v>754</v>
      </c>
      <c r="B239" s="290"/>
      <c r="C239" s="290"/>
      <c r="D239" s="273"/>
      <c r="E239" s="273"/>
      <c r="F239" s="217"/>
      <c r="G239" s="218"/>
      <c r="H239" s="218"/>
      <c r="I239" s="218"/>
      <c r="J239" s="218"/>
      <c r="K239" s="218"/>
      <c r="L239" s="218"/>
      <c r="M239" s="218"/>
      <c r="N239" s="218"/>
      <c r="O239" s="218"/>
      <c r="P239" s="218"/>
      <c r="Q239" s="218"/>
      <c r="R239" s="218"/>
      <c r="S239" s="218"/>
      <c r="T239" s="218"/>
      <c r="U239" s="218"/>
      <c r="V239" s="218"/>
      <c r="W239" s="219"/>
      <c r="X239" s="219"/>
    </row>
    <row r="240" spans="1:24" s="220" customFormat="1" ht="15">
      <c r="A240" s="331"/>
      <c r="B240" s="290"/>
      <c r="C240" s="290"/>
      <c r="D240" s="273"/>
      <c r="E240" s="273"/>
      <c r="F240" s="217"/>
      <c r="G240" s="218"/>
      <c r="H240" s="218"/>
      <c r="I240" s="218"/>
      <c r="J240" s="218"/>
      <c r="K240" s="218"/>
      <c r="L240" s="218"/>
      <c r="M240" s="218"/>
      <c r="N240" s="218"/>
      <c r="O240" s="218"/>
      <c r="P240" s="218"/>
      <c r="Q240" s="218"/>
      <c r="R240" s="218"/>
      <c r="S240" s="218"/>
      <c r="T240" s="218"/>
      <c r="U240" s="218"/>
      <c r="V240" s="218"/>
      <c r="W240" s="219"/>
      <c r="X240" s="219"/>
    </row>
    <row r="241" spans="1:24" s="220" customFormat="1" ht="15">
      <c r="A241" s="291" t="s">
        <v>384</v>
      </c>
      <c r="B241" s="290"/>
      <c r="C241" s="290"/>
      <c r="D241" s="273"/>
      <c r="E241" s="273"/>
      <c r="F241" s="217"/>
      <c r="G241" s="218"/>
      <c r="H241" s="218"/>
      <c r="I241" s="218"/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218"/>
      <c r="U241" s="218"/>
      <c r="V241" s="218"/>
      <c r="W241" s="219"/>
      <c r="X241" s="219"/>
    </row>
    <row r="242" spans="1:24" s="220" customFormat="1" ht="15">
      <c r="A242" s="269"/>
      <c r="B242" s="290"/>
      <c r="C242" s="290"/>
      <c r="D242" s="273"/>
      <c r="E242" s="273"/>
      <c r="F242" s="217"/>
      <c r="G242" s="218"/>
      <c r="H242" s="218"/>
      <c r="I242" s="218"/>
      <c r="J242" s="218"/>
      <c r="K242" s="218"/>
      <c r="L242" s="218"/>
      <c r="M242" s="218"/>
      <c r="N242" s="218"/>
      <c r="O242" s="218"/>
      <c r="P242" s="218"/>
      <c r="Q242" s="218"/>
      <c r="R242" s="218"/>
      <c r="S242" s="218"/>
      <c r="T242" s="218"/>
      <c r="U242" s="218"/>
      <c r="V242" s="218"/>
      <c r="W242" s="219"/>
      <c r="X242" s="219"/>
    </row>
    <row r="243" spans="1:24" s="220" customFormat="1" ht="15">
      <c r="A243" s="329" t="s">
        <v>385</v>
      </c>
      <c r="B243" s="290"/>
      <c r="C243" s="290"/>
      <c r="D243" s="273"/>
      <c r="E243" s="273"/>
      <c r="F243" s="217"/>
      <c r="G243" s="218"/>
      <c r="H243" s="218"/>
      <c r="I243" s="218"/>
      <c r="J243" s="218"/>
      <c r="K243" s="218"/>
      <c r="L243" s="218"/>
      <c r="M243" s="218"/>
      <c r="N243" s="218"/>
      <c r="O243" s="218"/>
      <c r="P243" s="218"/>
      <c r="Q243" s="218"/>
      <c r="R243" s="218"/>
      <c r="S243" s="218"/>
      <c r="T243" s="218"/>
      <c r="U243" s="218"/>
      <c r="V243" s="218"/>
      <c r="W243" s="219"/>
      <c r="X243" s="219"/>
    </row>
    <row r="244" spans="1:24" s="220" customFormat="1" ht="33" customHeight="1">
      <c r="A244" s="330" t="s">
        <v>38</v>
      </c>
      <c r="B244" s="290"/>
      <c r="C244" s="290"/>
      <c r="D244" s="273"/>
      <c r="E244" s="273"/>
      <c r="F244" s="217"/>
      <c r="G244" s="218"/>
      <c r="H244" s="218"/>
      <c r="I244" s="218"/>
      <c r="J244" s="218"/>
      <c r="K244" s="218"/>
      <c r="L244" s="218"/>
      <c r="M244" s="218"/>
      <c r="N244" s="218"/>
      <c r="O244" s="218"/>
      <c r="P244" s="218"/>
      <c r="Q244" s="218"/>
      <c r="R244" s="218"/>
      <c r="S244" s="218"/>
      <c r="T244" s="218"/>
      <c r="U244" s="218"/>
      <c r="V244" s="218"/>
      <c r="W244" s="219"/>
      <c r="X244" s="219"/>
    </row>
    <row r="245" spans="1:24" s="220" customFormat="1" ht="15">
      <c r="A245" s="331" t="s">
        <v>730</v>
      </c>
      <c r="B245" s="290"/>
      <c r="C245" s="290"/>
      <c r="D245" s="273"/>
      <c r="E245" s="273"/>
      <c r="F245" s="217"/>
      <c r="G245" s="218"/>
      <c r="H245" s="218"/>
      <c r="I245" s="218"/>
      <c r="J245" s="218"/>
      <c r="K245" s="218"/>
      <c r="L245" s="218"/>
      <c r="M245" s="218"/>
      <c r="N245" s="218"/>
      <c r="O245" s="218"/>
      <c r="P245" s="218"/>
      <c r="Q245" s="218"/>
      <c r="R245" s="218"/>
      <c r="S245" s="218"/>
      <c r="T245" s="218"/>
      <c r="U245" s="218"/>
      <c r="V245" s="218"/>
      <c r="W245" s="219"/>
      <c r="X245" s="219"/>
    </row>
    <row r="246" spans="1:24" s="220" customFormat="1" ht="15">
      <c r="A246" s="301"/>
      <c r="B246" s="290"/>
      <c r="C246" s="290"/>
      <c r="D246" s="273"/>
      <c r="E246" s="273"/>
      <c r="F246" s="217"/>
      <c r="G246" s="218"/>
      <c r="H246" s="218"/>
      <c r="I246" s="218"/>
      <c r="J246" s="218"/>
      <c r="K246" s="218"/>
      <c r="L246" s="218"/>
      <c r="M246" s="218"/>
      <c r="N246" s="218"/>
      <c r="O246" s="218"/>
      <c r="P246" s="218"/>
      <c r="Q246" s="218"/>
      <c r="R246" s="218"/>
      <c r="S246" s="218"/>
      <c r="T246" s="218"/>
      <c r="U246" s="218"/>
      <c r="V246" s="218"/>
      <c r="W246" s="219"/>
      <c r="X246" s="219"/>
    </row>
    <row r="247" spans="1:24" s="220" customFormat="1" ht="15">
      <c r="A247" s="289" t="s">
        <v>495</v>
      </c>
      <c r="B247" s="290"/>
      <c r="C247" s="290"/>
      <c r="D247" s="273"/>
      <c r="E247" s="273"/>
      <c r="F247" s="217"/>
      <c r="G247" s="218"/>
      <c r="H247" s="218"/>
      <c r="I247" s="218"/>
      <c r="J247" s="218"/>
      <c r="K247" s="218"/>
      <c r="L247" s="218"/>
      <c r="M247" s="218"/>
      <c r="N247" s="218"/>
      <c r="O247" s="218"/>
      <c r="P247" s="218"/>
      <c r="Q247" s="218"/>
      <c r="R247" s="218"/>
      <c r="S247" s="218"/>
      <c r="T247" s="218"/>
      <c r="U247" s="218"/>
      <c r="V247" s="218"/>
      <c r="W247" s="219"/>
      <c r="X247" s="219"/>
    </row>
    <row r="248" spans="1:24" s="220" customFormat="1" ht="15">
      <c r="A248" s="289" t="s">
        <v>496</v>
      </c>
      <c r="B248" s="290"/>
      <c r="C248" s="290"/>
      <c r="D248" s="273"/>
      <c r="E248" s="273"/>
      <c r="F248" s="217"/>
      <c r="G248" s="218"/>
      <c r="H248" s="218"/>
      <c r="I248" s="218"/>
      <c r="J248" s="218"/>
      <c r="K248" s="218"/>
      <c r="L248" s="218"/>
      <c r="M248" s="218"/>
      <c r="N248" s="218"/>
      <c r="O248" s="218"/>
      <c r="P248" s="218"/>
      <c r="Q248" s="218"/>
      <c r="R248" s="218"/>
      <c r="S248" s="218"/>
      <c r="T248" s="218"/>
      <c r="U248" s="218"/>
      <c r="V248" s="218"/>
      <c r="W248" s="219"/>
      <c r="X248" s="219"/>
    </row>
    <row r="249" spans="1:24" s="220" customFormat="1" ht="15">
      <c r="A249" s="330" t="s">
        <v>703</v>
      </c>
      <c r="B249" s="290"/>
      <c r="C249" s="290"/>
      <c r="D249" s="273"/>
      <c r="E249" s="273"/>
      <c r="F249" s="217"/>
      <c r="G249" s="218"/>
      <c r="H249" s="218"/>
      <c r="I249" s="218"/>
      <c r="J249" s="218"/>
      <c r="K249" s="218"/>
      <c r="L249" s="218"/>
      <c r="M249" s="218"/>
      <c r="N249" s="218"/>
      <c r="O249" s="218"/>
      <c r="P249" s="218"/>
      <c r="Q249" s="218"/>
      <c r="R249" s="218"/>
      <c r="S249" s="218"/>
      <c r="T249" s="218"/>
      <c r="U249" s="218"/>
      <c r="V249" s="218"/>
      <c r="W249" s="219"/>
      <c r="X249" s="219"/>
    </row>
    <row r="250" spans="1:24" s="220" customFormat="1" ht="15">
      <c r="A250" s="302" t="s">
        <v>386</v>
      </c>
      <c r="B250" s="290"/>
      <c r="C250" s="290"/>
      <c r="D250" s="273"/>
      <c r="E250" s="273"/>
      <c r="F250" s="217"/>
      <c r="G250" s="218"/>
      <c r="H250" s="218"/>
      <c r="I250" s="218"/>
      <c r="J250" s="218"/>
      <c r="K250" s="218"/>
      <c r="L250" s="218"/>
      <c r="M250" s="218"/>
      <c r="N250" s="218"/>
      <c r="O250" s="218"/>
      <c r="P250" s="218"/>
      <c r="Q250" s="218"/>
      <c r="R250" s="218"/>
      <c r="S250" s="218"/>
      <c r="T250" s="218"/>
      <c r="U250" s="218"/>
      <c r="V250" s="218"/>
      <c r="W250" s="219"/>
      <c r="X250" s="219"/>
    </row>
    <row r="251" spans="1:24" s="220" customFormat="1" ht="15" customHeight="1">
      <c r="A251" s="301"/>
      <c r="B251" s="290"/>
      <c r="C251" s="290"/>
      <c r="D251" s="273"/>
      <c r="E251" s="273"/>
      <c r="F251" s="217"/>
      <c r="G251" s="218"/>
      <c r="H251" s="218"/>
      <c r="I251" s="218"/>
      <c r="J251" s="218"/>
      <c r="K251" s="218"/>
      <c r="L251" s="218"/>
      <c r="M251" s="218"/>
      <c r="N251" s="218"/>
      <c r="O251" s="218"/>
      <c r="P251" s="218"/>
      <c r="Q251" s="218"/>
      <c r="R251" s="218"/>
      <c r="S251" s="218"/>
      <c r="T251" s="218"/>
      <c r="U251" s="218"/>
      <c r="V251" s="218"/>
      <c r="W251" s="219"/>
      <c r="X251" s="219"/>
    </row>
    <row r="252" spans="1:24" s="220" customFormat="1" ht="15">
      <c r="A252" s="332" t="s">
        <v>387</v>
      </c>
      <c r="B252" s="290"/>
      <c r="C252" s="290"/>
      <c r="D252" s="273"/>
      <c r="E252" s="273"/>
      <c r="F252" s="217"/>
      <c r="G252" s="218"/>
      <c r="H252" s="218"/>
      <c r="I252" s="218"/>
      <c r="J252" s="218"/>
      <c r="K252" s="218"/>
      <c r="L252" s="218"/>
      <c r="M252" s="218"/>
      <c r="N252" s="218"/>
      <c r="O252" s="218"/>
      <c r="P252" s="218"/>
      <c r="Q252" s="218"/>
      <c r="R252" s="218"/>
      <c r="S252" s="218"/>
      <c r="T252" s="218"/>
      <c r="U252" s="218"/>
      <c r="V252" s="218"/>
      <c r="W252" s="219"/>
      <c r="X252" s="219"/>
    </row>
    <row r="253" spans="1:24" s="220" customFormat="1" ht="15">
      <c r="A253" s="331" t="s">
        <v>499</v>
      </c>
      <c r="B253" s="290"/>
      <c r="C253" s="290"/>
      <c r="D253" s="273"/>
      <c r="E253" s="273"/>
      <c r="F253" s="217"/>
      <c r="G253" s="218"/>
      <c r="H253" s="218"/>
      <c r="I253" s="218"/>
      <c r="J253" s="218"/>
      <c r="K253" s="218"/>
      <c r="L253" s="218"/>
      <c r="M253" s="218"/>
      <c r="N253" s="218"/>
      <c r="O253" s="218"/>
      <c r="P253" s="218"/>
      <c r="Q253" s="218"/>
      <c r="R253" s="218"/>
      <c r="S253" s="218"/>
      <c r="T253" s="218"/>
      <c r="U253" s="218"/>
      <c r="V253" s="218"/>
      <c r="W253" s="219"/>
      <c r="X253" s="219"/>
    </row>
    <row r="254" spans="1:24" s="220" customFormat="1" ht="15">
      <c r="A254" s="331" t="s">
        <v>500</v>
      </c>
      <c r="B254" s="290"/>
      <c r="C254" s="290"/>
      <c r="D254" s="273"/>
      <c r="E254" s="273"/>
      <c r="F254" s="217"/>
      <c r="G254" s="218"/>
      <c r="H254" s="218"/>
      <c r="I254" s="218"/>
      <c r="J254" s="218"/>
      <c r="K254" s="218"/>
      <c r="L254" s="218"/>
      <c r="M254" s="218"/>
      <c r="N254" s="218"/>
      <c r="O254" s="218"/>
      <c r="P254" s="218"/>
      <c r="Q254" s="218"/>
      <c r="R254" s="218"/>
      <c r="S254" s="218"/>
      <c r="T254" s="218"/>
      <c r="U254" s="218"/>
      <c r="V254" s="218"/>
      <c r="W254" s="219"/>
      <c r="X254" s="219"/>
    </row>
    <row r="255" spans="1:24" s="220" customFormat="1" ht="6.75" customHeight="1">
      <c r="A255" s="301"/>
      <c r="B255" s="290"/>
      <c r="C255" s="290"/>
      <c r="D255" s="273"/>
      <c r="E255" s="273"/>
      <c r="F255" s="217"/>
      <c r="G255" s="218"/>
      <c r="H255" s="218"/>
      <c r="I255" s="218"/>
      <c r="J255" s="218"/>
      <c r="K255" s="218"/>
      <c r="L255" s="218"/>
      <c r="M255" s="218"/>
      <c r="N255" s="218"/>
      <c r="O255" s="218"/>
      <c r="P255" s="218"/>
      <c r="Q255" s="218"/>
      <c r="R255" s="218"/>
      <c r="S255" s="218"/>
      <c r="T255" s="218"/>
      <c r="U255" s="218"/>
      <c r="V255" s="218"/>
      <c r="W255" s="219"/>
      <c r="X255" s="219"/>
    </row>
    <row r="256" spans="1:24" s="220" customFormat="1" ht="15">
      <c r="A256" s="333" t="s">
        <v>388</v>
      </c>
      <c r="B256" s="290"/>
      <c r="C256" s="290"/>
      <c r="D256" s="273"/>
      <c r="E256" s="273"/>
      <c r="F256" s="217"/>
      <c r="G256" s="218"/>
      <c r="H256" s="218"/>
      <c r="I256" s="218"/>
      <c r="J256" s="218"/>
      <c r="K256" s="218"/>
      <c r="L256" s="218"/>
      <c r="M256" s="218"/>
      <c r="N256" s="218"/>
      <c r="O256" s="218"/>
      <c r="P256" s="218"/>
      <c r="Q256" s="218"/>
      <c r="R256" s="218"/>
      <c r="S256" s="218"/>
      <c r="T256" s="218"/>
      <c r="U256" s="218"/>
      <c r="V256" s="218"/>
      <c r="W256" s="219"/>
      <c r="X256" s="219"/>
    </row>
    <row r="257" spans="1:24" s="220" customFormat="1" ht="15">
      <c r="A257" s="310" t="s">
        <v>499</v>
      </c>
      <c r="B257" s="290"/>
      <c r="C257" s="290"/>
      <c r="D257" s="273"/>
      <c r="E257" s="273"/>
      <c r="F257" s="217"/>
      <c r="G257" s="218"/>
      <c r="H257" s="218"/>
      <c r="I257" s="218"/>
      <c r="J257" s="218"/>
      <c r="K257" s="218"/>
      <c r="L257" s="218"/>
      <c r="M257" s="218"/>
      <c r="N257" s="218"/>
      <c r="O257" s="218"/>
      <c r="P257" s="218"/>
      <c r="Q257" s="218"/>
      <c r="R257" s="218"/>
      <c r="S257" s="218"/>
      <c r="T257" s="218"/>
      <c r="U257" s="218"/>
      <c r="V257" s="218"/>
      <c r="W257" s="219"/>
      <c r="X257" s="219"/>
    </row>
    <row r="258" spans="1:24" s="220" customFormat="1" ht="15">
      <c r="A258" s="310" t="s">
        <v>500</v>
      </c>
      <c r="B258" s="290"/>
      <c r="C258" s="290"/>
      <c r="D258" s="273"/>
      <c r="E258" s="273"/>
      <c r="F258" s="217"/>
      <c r="G258" s="218"/>
      <c r="H258" s="218"/>
      <c r="I258" s="218"/>
      <c r="J258" s="218"/>
      <c r="K258" s="218"/>
      <c r="L258" s="218"/>
      <c r="M258" s="218"/>
      <c r="N258" s="218"/>
      <c r="O258" s="218"/>
      <c r="P258" s="218"/>
      <c r="Q258" s="218"/>
      <c r="R258" s="218"/>
      <c r="S258" s="218"/>
      <c r="T258" s="218"/>
      <c r="U258" s="218"/>
      <c r="V258" s="218"/>
      <c r="W258" s="219"/>
      <c r="X258" s="219"/>
    </row>
    <row r="259" spans="1:24" s="220" customFormat="1" ht="15">
      <c r="A259" s="310" t="s">
        <v>66</v>
      </c>
      <c r="B259" s="290"/>
      <c r="C259" s="290"/>
      <c r="D259" s="273"/>
      <c r="E259" s="273"/>
      <c r="F259" s="217"/>
      <c r="G259" s="218"/>
      <c r="H259" s="218"/>
      <c r="I259" s="218"/>
      <c r="J259" s="218"/>
      <c r="K259" s="218"/>
      <c r="L259" s="218"/>
      <c r="M259" s="218"/>
      <c r="N259" s="218"/>
      <c r="O259" s="218"/>
      <c r="P259" s="218"/>
      <c r="Q259" s="218"/>
      <c r="R259" s="218"/>
      <c r="S259" s="218"/>
      <c r="T259" s="218"/>
      <c r="U259" s="218"/>
      <c r="V259" s="218"/>
      <c r="W259" s="219"/>
      <c r="X259" s="219"/>
    </row>
    <row r="260" spans="1:24" s="220" customFormat="1" ht="6.75" customHeight="1">
      <c r="A260" s="269"/>
      <c r="B260" s="290"/>
      <c r="C260" s="290"/>
      <c r="D260" s="273"/>
      <c r="E260" s="273"/>
      <c r="F260" s="217"/>
      <c r="G260" s="218"/>
      <c r="H260" s="218"/>
      <c r="I260" s="218"/>
      <c r="J260" s="218"/>
      <c r="K260" s="218"/>
      <c r="L260" s="218"/>
      <c r="M260" s="218"/>
      <c r="N260" s="218"/>
      <c r="O260" s="218"/>
      <c r="P260" s="218"/>
      <c r="Q260" s="218"/>
      <c r="R260" s="218"/>
      <c r="S260" s="218"/>
      <c r="T260" s="218"/>
      <c r="U260" s="218"/>
      <c r="V260" s="218"/>
      <c r="W260" s="219"/>
      <c r="X260" s="219"/>
    </row>
    <row r="261" spans="1:24" s="220" customFormat="1" ht="25.5">
      <c r="A261" s="302" t="s">
        <v>713</v>
      </c>
      <c r="B261" s="290"/>
      <c r="C261" s="290"/>
      <c r="D261" s="273"/>
      <c r="E261" s="273"/>
      <c r="F261" s="217"/>
      <c r="G261" s="218"/>
      <c r="H261" s="218"/>
      <c r="I261" s="218"/>
      <c r="J261" s="218"/>
      <c r="K261" s="218"/>
      <c r="L261" s="218"/>
      <c r="M261" s="218"/>
      <c r="N261" s="218"/>
      <c r="O261" s="218"/>
      <c r="P261" s="218"/>
      <c r="Q261" s="218"/>
      <c r="R261" s="218"/>
      <c r="S261" s="218"/>
      <c r="T261" s="218"/>
      <c r="U261" s="218"/>
      <c r="V261" s="218"/>
      <c r="W261" s="219"/>
      <c r="X261" s="219"/>
    </row>
    <row r="262" spans="1:24" s="220" customFormat="1" ht="8.25" customHeight="1">
      <c r="A262" s="269"/>
      <c r="B262" s="290"/>
      <c r="C262" s="290"/>
      <c r="D262" s="273"/>
      <c r="E262" s="273"/>
      <c r="F262" s="217"/>
      <c r="G262" s="218"/>
      <c r="H262" s="218"/>
      <c r="I262" s="218"/>
      <c r="J262" s="218"/>
      <c r="K262" s="218"/>
      <c r="L262" s="218"/>
      <c r="M262" s="218"/>
      <c r="N262" s="218"/>
      <c r="O262" s="218"/>
      <c r="P262" s="218"/>
      <c r="Q262" s="218"/>
      <c r="R262" s="218"/>
      <c r="S262" s="218"/>
      <c r="T262" s="218"/>
      <c r="U262" s="218"/>
      <c r="V262" s="218"/>
      <c r="W262" s="219"/>
      <c r="X262" s="219"/>
    </row>
    <row r="263" spans="1:24" s="220" customFormat="1" ht="38.25">
      <c r="A263" s="333" t="s">
        <v>732</v>
      </c>
      <c r="B263" s="290"/>
      <c r="C263" s="290"/>
      <c r="D263" s="273"/>
      <c r="E263" s="273"/>
      <c r="F263" s="217"/>
      <c r="G263" s="218"/>
      <c r="H263" s="218" t="s">
        <v>753</v>
      </c>
      <c r="I263" s="218"/>
      <c r="J263" s="218"/>
      <c r="K263" s="218"/>
      <c r="L263" s="218"/>
      <c r="M263" s="218"/>
      <c r="N263" s="218"/>
      <c r="O263" s="218"/>
      <c r="P263" s="218"/>
      <c r="Q263" s="218"/>
      <c r="R263" s="218"/>
      <c r="S263" s="218"/>
      <c r="T263" s="218"/>
      <c r="U263" s="218"/>
      <c r="V263" s="218"/>
      <c r="W263" s="219"/>
      <c r="X263" s="219"/>
    </row>
    <row r="264" spans="1:24" s="220" customFormat="1" ht="25.5">
      <c r="A264" s="315" t="s">
        <v>714</v>
      </c>
      <c r="B264" s="290"/>
      <c r="C264" s="290"/>
      <c r="D264" s="273"/>
      <c r="E264" s="273"/>
      <c r="F264" s="217"/>
      <c r="G264" s="218"/>
      <c r="H264" s="218"/>
      <c r="I264" s="218"/>
      <c r="J264" s="218"/>
      <c r="K264" s="218"/>
      <c r="L264" s="218"/>
      <c r="M264" s="218"/>
      <c r="N264" s="218"/>
      <c r="O264" s="218"/>
      <c r="P264" s="218"/>
      <c r="Q264" s="218"/>
      <c r="R264" s="218"/>
      <c r="S264" s="218"/>
      <c r="T264" s="218"/>
      <c r="U264" s="218"/>
      <c r="V264" s="218"/>
      <c r="W264" s="219"/>
      <c r="X264" s="219"/>
    </row>
    <row r="265" spans="1:24" s="220" customFormat="1" ht="15">
      <c r="A265" s="310" t="s">
        <v>715</v>
      </c>
      <c r="B265" s="290"/>
      <c r="C265" s="290"/>
      <c r="D265" s="273"/>
      <c r="E265" s="273"/>
      <c r="F265" s="217"/>
      <c r="G265" s="218"/>
      <c r="H265" s="218"/>
      <c r="I265" s="218"/>
      <c r="J265" s="218"/>
      <c r="K265" s="218"/>
      <c r="L265" s="218"/>
      <c r="M265" s="218"/>
      <c r="N265" s="218"/>
      <c r="O265" s="218"/>
      <c r="P265" s="218"/>
      <c r="Q265" s="218"/>
      <c r="R265" s="218"/>
      <c r="S265" s="218"/>
      <c r="T265" s="218"/>
      <c r="U265" s="218"/>
      <c r="V265" s="218"/>
      <c r="W265" s="219"/>
      <c r="X265" s="219"/>
    </row>
    <row r="266" spans="1:24" s="220" customFormat="1" ht="25.5">
      <c r="A266" s="315" t="s">
        <v>501</v>
      </c>
      <c r="B266" s="290"/>
      <c r="C266" s="290"/>
      <c r="D266" s="273"/>
      <c r="E266" s="273"/>
      <c r="F266" s="217"/>
      <c r="G266" s="218"/>
      <c r="H266" s="218"/>
      <c r="I266" s="218"/>
      <c r="J266" s="218"/>
      <c r="K266" s="218"/>
      <c r="L266" s="218"/>
      <c r="M266" s="218"/>
      <c r="N266" s="218"/>
      <c r="O266" s="218"/>
      <c r="P266" s="218"/>
      <c r="Q266" s="218"/>
      <c r="R266" s="218"/>
      <c r="S266" s="218"/>
      <c r="T266" s="218"/>
      <c r="U266" s="218"/>
      <c r="V266" s="218"/>
      <c r="W266" s="219"/>
      <c r="X266" s="219"/>
    </row>
    <row r="267" spans="1:24" s="220" customFormat="1" ht="15">
      <c r="A267" s="310" t="s">
        <v>716</v>
      </c>
      <c r="B267" s="290"/>
      <c r="C267" s="290"/>
      <c r="D267" s="273"/>
      <c r="E267" s="273"/>
      <c r="F267" s="217"/>
      <c r="G267" s="218"/>
      <c r="H267" s="218"/>
      <c r="I267" s="218"/>
      <c r="J267" s="218"/>
      <c r="K267" s="218"/>
      <c r="L267" s="218"/>
      <c r="M267" s="218"/>
      <c r="N267" s="218"/>
      <c r="O267" s="218"/>
      <c r="P267" s="218"/>
      <c r="Q267" s="218"/>
      <c r="R267" s="218"/>
      <c r="S267" s="218"/>
      <c r="T267" s="218"/>
      <c r="U267" s="218"/>
      <c r="V267" s="218"/>
      <c r="W267" s="219"/>
      <c r="X267" s="219"/>
    </row>
    <row r="268" spans="1:24" s="220" customFormat="1" ht="25.5">
      <c r="A268" s="315" t="s">
        <v>502</v>
      </c>
      <c r="B268" s="290"/>
      <c r="C268" s="290"/>
      <c r="D268" s="273"/>
      <c r="E268" s="273"/>
      <c r="F268" s="217"/>
      <c r="G268" s="218"/>
      <c r="H268" s="218"/>
      <c r="I268" s="218"/>
      <c r="J268" s="218"/>
      <c r="K268" s="218"/>
      <c r="L268" s="218"/>
      <c r="M268" s="218"/>
      <c r="N268" s="218"/>
      <c r="O268" s="218"/>
      <c r="P268" s="218"/>
      <c r="Q268" s="218"/>
      <c r="R268" s="218"/>
      <c r="S268" s="218"/>
      <c r="T268" s="218"/>
      <c r="U268" s="218"/>
      <c r="V268" s="218"/>
      <c r="W268" s="219"/>
      <c r="X268" s="219"/>
    </row>
    <row r="269" spans="1:24" s="220" customFormat="1" ht="15">
      <c r="A269" s="310" t="s">
        <v>717</v>
      </c>
      <c r="B269" s="290"/>
      <c r="C269" s="290"/>
      <c r="D269" s="273"/>
      <c r="E269" s="273"/>
      <c r="F269" s="217"/>
      <c r="G269" s="218"/>
      <c r="H269" s="218"/>
      <c r="I269" s="218"/>
      <c r="J269" s="218"/>
      <c r="K269" s="218"/>
      <c r="L269" s="218"/>
      <c r="M269" s="218"/>
      <c r="N269" s="218"/>
      <c r="O269" s="218"/>
      <c r="P269" s="218"/>
      <c r="Q269" s="218"/>
      <c r="R269" s="218"/>
      <c r="S269" s="218"/>
      <c r="T269" s="218"/>
      <c r="U269" s="218"/>
      <c r="V269" s="218"/>
      <c r="W269" s="219"/>
      <c r="X269" s="219"/>
    </row>
    <row r="270" spans="1:24" s="220" customFormat="1" ht="6.75" customHeight="1">
      <c r="A270" s="317"/>
      <c r="B270" s="290"/>
      <c r="C270" s="290"/>
      <c r="D270" s="273"/>
      <c r="E270" s="273"/>
      <c r="F270" s="217"/>
      <c r="G270" s="218"/>
      <c r="H270" s="218"/>
      <c r="I270" s="218"/>
      <c r="J270" s="218"/>
      <c r="K270" s="218"/>
      <c r="L270" s="218"/>
      <c r="M270" s="218"/>
      <c r="N270" s="218"/>
      <c r="O270" s="218"/>
      <c r="P270" s="218"/>
      <c r="Q270" s="218"/>
      <c r="R270" s="218"/>
      <c r="S270" s="218"/>
      <c r="T270" s="218"/>
      <c r="U270" s="218"/>
      <c r="V270" s="218"/>
      <c r="W270" s="219"/>
      <c r="X270" s="219"/>
    </row>
    <row r="271" spans="1:24" s="220" customFormat="1" ht="15">
      <c r="A271" s="332" t="s">
        <v>506</v>
      </c>
      <c r="B271" s="290"/>
      <c r="C271" s="290"/>
      <c r="D271" s="273"/>
      <c r="E271" s="273"/>
      <c r="F271" s="217"/>
      <c r="G271" s="218"/>
      <c r="H271" s="218"/>
      <c r="I271" s="218"/>
      <c r="J271" s="218"/>
      <c r="K271" s="218"/>
      <c r="L271" s="218"/>
      <c r="M271" s="218"/>
      <c r="N271" s="218"/>
      <c r="O271" s="218"/>
      <c r="P271" s="218"/>
      <c r="Q271" s="218"/>
      <c r="R271" s="218"/>
      <c r="S271" s="218"/>
      <c r="T271" s="218"/>
      <c r="U271" s="218"/>
      <c r="V271" s="218"/>
      <c r="W271" s="219"/>
      <c r="X271" s="219"/>
    </row>
    <row r="272" spans="1:24" s="220" customFormat="1" ht="15">
      <c r="A272" s="303" t="s">
        <v>718</v>
      </c>
      <c r="B272" s="290"/>
      <c r="C272" s="290"/>
      <c r="D272" s="273"/>
      <c r="E272" s="273"/>
      <c r="F272" s="217"/>
      <c r="G272" s="218"/>
      <c r="H272" s="218"/>
      <c r="I272" s="218"/>
      <c r="J272" s="218"/>
      <c r="K272" s="218"/>
      <c r="L272" s="218"/>
      <c r="M272" s="218"/>
      <c r="N272" s="218"/>
      <c r="O272" s="218"/>
      <c r="P272" s="218"/>
      <c r="Q272" s="218"/>
      <c r="R272" s="218"/>
      <c r="S272" s="218"/>
      <c r="T272" s="218"/>
      <c r="U272" s="218"/>
      <c r="V272" s="218"/>
      <c r="W272" s="219"/>
      <c r="X272" s="219"/>
    </row>
    <row r="273" spans="1:24" s="220" customFormat="1" ht="15">
      <c r="A273" s="303" t="s">
        <v>719</v>
      </c>
      <c r="B273" s="290"/>
      <c r="C273" s="290"/>
      <c r="D273" s="273"/>
      <c r="E273" s="273"/>
      <c r="F273" s="217"/>
      <c r="G273" s="218"/>
      <c r="H273" s="218"/>
      <c r="I273" s="218"/>
      <c r="J273" s="218"/>
      <c r="K273" s="218"/>
      <c r="L273" s="218"/>
      <c r="M273" s="218"/>
      <c r="N273" s="218"/>
      <c r="O273" s="218"/>
      <c r="P273" s="218"/>
      <c r="Q273" s="218"/>
      <c r="R273" s="218"/>
      <c r="S273" s="218"/>
      <c r="T273" s="218"/>
      <c r="U273" s="218"/>
      <c r="V273" s="218"/>
      <c r="W273" s="219"/>
      <c r="X273" s="219"/>
    </row>
    <row r="274" spans="1:24" s="220" customFormat="1" ht="13.5" customHeight="1">
      <c r="A274" s="331"/>
      <c r="B274" s="290"/>
      <c r="C274" s="290"/>
      <c r="D274" s="273"/>
      <c r="E274" s="273"/>
      <c r="F274" s="217"/>
      <c r="G274" s="218"/>
      <c r="H274" s="218"/>
      <c r="I274" s="218"/>
      <c r="J274" s="218"/>
      <c r="K274" s="218"/>
      <c r="L274" s="218"/>
      <c r="M274" s="218"/>
      <c r="N274" s="218"/>
      <c r="O274" s="218"/>
      <c r="P274" s="218"/>
      <c r="Q274" s="218"/>
      <c r="R274" s="218"/>
      <c r="S274" s="218"/>
      <c r="T274" s="218"/>
      <c r="U274" s="218"/>
      <c r="V274" s="218"/>
      <c r="W274" s="219"/>
      <c r="X274" s="219"/>
    </row>
    <row r="275" spans="1:24" s="220" customFormat="1" ht="55.5" customHeight="1">
      <c r="A275" s="333" t="s">
        <v>353</v>
      </c>
      <c r="B275" s="290"/>
      <c r="C275" s="290"/>
      <c r="D275" s="273"/>
      <c r="E275" s="273"/>
      <c r="F275" s="217"/>
      <c r="G275" s="218"/>
      <c r="H275" s="218"/>
      <c r="I275" s="218"/>
      <c r="J275" s="218"/>
      <c r="K275" s="218"/>
      <c r="L275" s="218"/>
      <c r="M275" s="218"/>
      <c r="N275" s="218"/>
      <c r="O275" s="218"/>
      <c r="P275" s="218"/>
      <c r="Q275" s="218"/>
      <c r="R275" s="218"/>
      <c r="S275" s="218"/>
      <c r="T275" s="218"/>
      <c r="U275" s="218"/>
      <c r="V275" s="218"/>
      <c r="W275" s="219"/>
      <c r="X275" s="219"/>
    </row>
    <row r="276" spans="1:24" s="220" customFormat="1" ht="15">
      <c r="A276" s="310" t="s">
        <v>507</v>
      </c>
      <c r="B276" s="290"/>
      <c r="C276" s="290"/>
      <c r="D276" s="273"/>
      <c r="E276" s="273"/>
      <c r="F276" s="217"/>
      <c r="G276" s="218"/>
      <c r="H276" s="218"/>
      <c r="I276" s="218"/>
      <c r="J276" s="218"/>
      <c r="K276" s="218"/>
      <c r="L276" s="218"/>
      <c r="M276" s="218"/>
      <c r="N276" s="218"/>
      <c r="O276" s="218"/>
      <c r="P276" s="218"/>
      <c r="Q276" s="218"/>
      <c r="R276" s="218"/>
      <c r="S276" s="218"/>
      <c r="T276" s="218"/>
      <c r="U276" s="218"/>
      <c r="V276" s="218"/>
      <c r="W276" s="219"/>
      <c r="X276" s="219"/>
    </row>
    <row r="277" spans="1:24" s="220" customFormat="1" ht="15">
      <c r="A277" s="310" t="s">
        <v>202</v>
      </c>
      <c r="B277" s="290"/>
      <c r="C277" s="290"/>
      <c r="D277" s="273"/>
      <c r="E277" s="273"/>
      <c r="F277" s="217"/>
      <c r="G277" s="218"/>
      <c r="H277" s="218"/>
      <c r="I277" s="218"/>
      <c r="J277" s="218"/>
      <c r="K277" s="218"/>
      <c r="L277" s="218"/>
      <c r="M277" s="218"/>
      <c r="N277" s="218"/>
      <c r="O277" s="218"/>
      <c r="P277" s="218"/>
      <c r="Q277" s="218"/>
      <c r="R277" s="218"/>
      <c r="S277" s="218"/>
      <c r="T277" s="218"/>
      <c r="U277" s="218"/>
      <c r="V277" s="218"/>
      <c r="W277" s="219"/>
      <c r="X277" s="219"/>
    </row>
    <row r="278" spans="1:24" s="220" customFormat="1" ht="15">
      <c r="A278" s="310" t="s">
        <v>733</v>
      </c>
      <c r="B278" s="290"/>
      <c r="C278" s="290"/>
      <c r="D278" s="273"/>
      <c r="E278" s="273"/>
      <c r="F278" s="217"/>
      <c r="G278" s="218"/>
      <c r="H278" s="218"/>
      <c r="I278" s="218"/>
      <c r="J278" s="218"/>
      <c r="K278" s="218"/>
      <c r="L278" s="218"/>
      <c r="M278" s="218"/>
      <c r="N278" s="218"/>
      <c r="O278" s="218"/>
      <c r="P278" s="218"/>
      <c r="Q278" s="218"/>
      <c r="R278" s="218"/>
      <c r="S278" s="218"/>
      <c r="T278" s="218"/>
      <c r="U278" s="218"/>
      <c r="V278" s="218"/>
      <c r="W278" s="219"/>
      <c r="X278" s="219"/>
    </row>
    <row r="279" spans="1:24" s="220" customFormat="1" ht="11.25" customHeight="1">
      <c r="A279" s="269"/>
      <c r="B279" s="290"/>
      <c r="C279" s="290"/>
      <c r="D279" s="273"/>
      <c r="E279" s="273"/>
      <c r="F279" s="217"/>
      <c r="G279" s="218"/>
      <c r="H279" s="218"/>
      <c r="I279" s="218"/>
      <c r="J279" s="218"/>
      <c r="K279" s="218"/>
      <c r="L279" s="218"/>
      <c r="M279" s="218"/>
      <c r="N279" s="218"/>
      <c r="O279" s="218"/>
      <c r="P279" s="218"/>
      <c r="Q279" s="218"/>
      <c r="R279" s="218"/>
      <c r="S279" s="218"/>
      <c r="T279" s="218"/>
      <c r="U279" s="218"/>
      <c r="V279" s="218"/>
      <c r="W279" s="219"/>
      <c r="X279" s="219"/>
    </row>
    <row r="280" spans="1:24" s="220" customFormat="1" ht="27" customHeight="1">
      <c r="A280" s="333" t="s">
        <v>508</v>
      </c>
      <c r="B280" s="290"/>
      <c r="C280" s="290"/>
      <c r="D280" s="273"/>
      <c r="E280" s="273"/>
      <c r="F280" s="217"/>
      <c r="G280" s="218"/>
      <c r="H280" s="218"/>
      <c r="I280" s="218"/>
      <c r="J280" s="218"/>
      <c r="K280" s="218"/>
      <c r="L280" s="218"/>
      <c r="M280" s="218"/>
      <c r="N280" s="218"/>
      <c r="O280" s="218"/>
      <c r="P280" s="218"/>
      <c r="Q280" s="218"/>
      <c r="R280" s="218"/>
      <c r="S280" s="218"/>
      <c r="T280" s="218"/>
      <c r="U280" s="218"/>
      <c r="V280" s="218"/>
      <c r="W280" s="219"/>
      <c r="X280" s="219"/>
    </row>
    <row r="281" spans="1:24" s="220" customFormat="1" ht="15">
      <c r="A281" s="310" t="s">
        <v>720</v>
      </c>
      <c r="B281" s="290"/>
      <c r="C281" s="290"/>
      <c r="D281" s="273"/>
      <c r="E281" s="273"/>
      <c r="F281" s="217"/>
      <c r="G281" s="218"/>
      <c r="H281" s="218"/>
      <c r="I281" s="218"/>
      <c r="J281" s="218"/>
      <c r="K281" s="218"/>
      <c r="L281" s="218"/>
      <c r="M281" s="218"/>
      <c r="N281" s="218"/>
      <c r="O281" s="218"/>
      <c r="P281" s="218"/>
      <c r="Q281" s="218"/>
      <c r="R281" s="218"/>
      <c r="S281" s="218"/>
      <c r="T281" s="218"/>
      <c r="U281" s="218"/>
      <c r="V281" s="218"/>
      <c r="W281" s="219"/>
      <c r="X281" s="219"/>
    </row>
    <row r="282" spans="1:24" s="220" customFormat="1" ht="15">
      <c r="A282" s="310" t="s">
        <v>721</v>
      </c>
      <c r="B282" s="290"/>
      <c r="C282" s="290"/>
      <c r="D282" s="273"/>
      <c r="E282" s="273"/>
      <c r="F282" s="217"/>
      <c r="G282" s="218"/>
      <c r="H282" s="218"/>
      <c r="I282" s="218"/>
      <c r="J282" s="218"/>
      <c r="K282" s="218"/>
      <c r="L282" s="218"/>
      <c r="M282" s="218"/>
      <c r="N282" s="218"/>
      <c r="O282" s="218"/>
      <c r="P282" s="218"/>
      <c r="Q282" s="218"/>
      <c r="R282" s="218"/>
      <c r="S282" s="218"/>
      <c r="T282" s="218"/>
      <c r="U282" s="218"/>
      <c r="V282" s="218"/>
      <c r="W282" s="219"/>
      <c r="X282" s="219"/>
    </row>
    <row r="283" spans="1:24" s="220" customFormat="1" ht="10.5" customHeight="1">
      <c r="A283" s="269"/>
      <c r="B283" s="290"/>
      <c r="C283" s="290"/>
      <c r="D283" s="273"/>
      <c r="E283" s="273"/>
      <c r="F283" s="217"/>
      <c r="G283" s="218"/>
      <c r="H283" s="218"/>
      <c r="I283" s="218"/>
      <c r="J283" s="218"/>
      <c r="K283" s="218"/>
      <c r="L283" s="218"/>
      <c r="M283" s="218"/>
      <c r="N283" s="218"/>
      <c r="O283" s="218"/>
      <c r="P283" s="218"/>
      <c r="Q283" s="218"/>
      <c r="R283" s="218"/>
      <c r="S283" s="218"/>
      <c r="T283" s="218"/>
      <c r="U283" s="218"/>
      <c r="V283" s="218"/>
      <c r="W283" s="219"/>
      <c r="X283" s="219"/>
    </row>
    <row r="284" spans="1:24" s="255" customFormat="1" ht="22.5" customHeight="1">
      <c r="A284" s="300" t="s">
        <v>497</v>
      </c>
      <c r="B284" s="321"/>
      <c r="C284" s="321"/>
      <c r="D284" s="320"/>
      <c r="E284" s="320"/>
      <c r="F284" s="252"/>
      <c r="G284" s="253"/>
      <c r="H284" s="253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253"/>
      <c r="T284" s="253"/>
      <c r="U284" s="253"/>
      <c r="V284" s="253"/>
      <c r="W284" s="254"/>
      <c r="X284" s="254"/>
    </row>
    <row r="285" spans="1:24" s="220" customFormat="1" ht="9" customHeight="1">
      <c r="A285" s="311"/>
      <c r="B285" s="290"/>
      <c r="C285" s="290"/>
      <c r="D285" s="273"/>
      <c r="E285" s="273"/>
      <c r="F285" s="217"/>
      <c r="G285" s="218"/>
      <c r="H285" s="218"/>
      <c r="I285" s="218"/>
      <c r="J285" s="218"/>
      <c r="K285" s="218"/>
      <c r="L285" s="218"/>
      <c r="M285" s="218"/>
      <c r="N285" s="218"/>
      <c r="O285" s="218"/>
      <c r="P285" s="218"/>
      <c r="Q285" s="218"/>
      <c r="R285" s="218"/>
      <c r="S285" s="218"/>
      <c r="T285" s="218"/>
      <c r="U285" s="218"/>
      <c r="V285" s="218"/>
      <c r="W285" s="219"/>
      <c r="X285" s="219"/>
    </row>
    <row r="286" spans="1:24" s="220" customFormat="1" ht="15">
      <c r="A286" s="302" t="s">
        <v>469</v>
      </c>
      <c r="B286" s="290"/>
      <c r="C286" s="290"/>
      <c r="D286" s="273"/>
      <c r="E286" s="273"/>
      <c r="F286" s="217"/>
      <c r="G286" s="218"/>
      <c r="H286" s="218"/>
      <c r="I286" s="218"/>
      <c r="J286" s="218"/>
      <c r="K286" s="218"/>
      <c r="L286" s="218"/>
      <c r="M286" s="218"/>
      <c r="N286" s="218"/>
      <c r="O286" s="218"/>
      <c r="P286" s="218"/>
      <c r="Q286" s="218"/>
      <c r="R286" s="218"/>
      <c r="S286" s="218"/>
      <c r="T286" s="218"/>
      <c r="U286" s="218"/>
      <c r="V286" s="218"/>
      <c r="W286" s="219"/>
      <c r="X286" s="219"/>
    </row>
    <row r="287" spans="1:24" s="220" customFormat="1" ht="15" customHeight="1">
      <c r="A287" s="291"/>
      <c r="B287" s="290"/>
      <c r="C287" s="290"/>
      <c r="D287" s="273"/>
      <c r="E287" s="273"/>
      <c r="F287" s="217"/>
      <c r="G287" s="218"/>
      <c r="H287" s="218"/>
      <c r="I287" s="218"/>
      <c r="J287" s="218"/>
      <c r="K287" s="218"/>
      <c r="L287" s="218"/>
      <c r="M287" s="218"/>
      <c r="N287" s="218"/>
      <c r="O287" s="218"/>
      <c r="P287" s="218"/>
      <c r="Q287" s="218"/>
      <c r="R287" s="218"/>
      <c r="S287" s="218"/>
      <c r="T287" s="218"/>
      <c r="U287" s="218"/>
      <c r="V287" s="218"/>
      <c r="W287" s="219"/>
      <c r="X287" s="219"/>
    </row>
    <row r="288" spans="1:24" s="220" customFormat="1" ht="15">
      <c r="A288" s="292" t="s">
        <v>731</v>
      </c>
      <c r="B288" s="290"/>
      <c r="C288" s="290"/>
      <c r="D288" s="273"/>
      <c r="E288" s="273"/>
      <c r="F288" s="217"/>
      <c r="G288" s="218"/>
      <c r="H288" s="218"/>
      <c r="I288" s="218"/>
      <c r="J288" s="218"/>
      <c r="K288" s="218"/>
      <c r="L288" s="218"/>
      <c r="M288" s="218"/>
      <c r="N288" s="218"/>
      <c r="O288" s="218"/>
      <c r="P288" s="218"/>
      <c r="Q288" s="218"/>
      <c r="R288" s="218"/>
      <c r="S288" s="218"/>
      <c r="T288" s="218"/>
      <c r="U288" s="218"/>
      <c r="V288" s="218"/>
      <c r="W288" s="219"/>
      <c r="X288" s="219"/>
    </row>
    <row r="289" spans="1:24" s="220" customFormat="1" ht="15">
      <c r="A289" s="310" t="s">
        <v>722</v>
      </c>
      <c r="B289" s="290"/>
      <c r="C289" s="290"/>
      <c r="D289" s="273"/>
      <c r="E289" s="273"/>
      <c r="F289" s="217"/>
      <c r="G289" s="218"/>
      <c r="H289" s="218"/>
      <c r="I289" s="218"/>
      <c r="J289" s="218"/>
      <c r="K289" s="218"/>
      <c r="L289" s="218"/>
      <c r="M289" s="218"/>
      <c r="N289" s="218"/>
      <c r="O289" s="218"/>
      <c r="P289" s="218"/>
      <c r="Q289" s="218"/>
      <c r="R289" s="218"/>
      <c r="S289" s="218"/>
      <c r="T289" s="218"/>
      <c r="U289" s="218"/>
      <c r="V289" s="218"/>
      <c r="W289" s="219"/>
      <c r="X289" s="219"/>
    </row>
    <row r="290" spans="1:24" s="220" customFormat="1" ht="15">
      <c r="A290" s="310" t="s">
        <v>723</v>
      </c>
      <c r="B290" s="290"/>
      <c r="C290" s="290"/>
      <c r="D290" s="273"/>
      <c r="E290" s="273"/>
      <c r="F290" s="217"/>
      <c r="G290" s="218"/>
      <c r="H290" s="218"/>
      <c r="I290" s="218"/>
      <c r="J290" s="218"/>
      <c r="K290" s="218"/>
      <c r="L290" s="218"/>
      <c r="M290" s="218"/>
      <c r="N290" s="218"/>
      <c r="O290" s="218"/>
      <c r="P290" s="218"/>
      <c r="Q290" s="218"/>
      <c r="R290" s="218"/>
      <c r="S290" s="218"/>
      <c r="T290" s="218"/>
      <c r="U290" s="218"/>
      <c r="V290" s="218"/>
      <c r="W290" s="219"/>
      <c r="X290" s="219"/>
    </row>
    <row r="291" spans="1:24" s="220" customFormat="1" ht="16.5" customHeight="1">
      <c r="A291" s="269"/>
      <c r="B291" s="290"/>
      <c r="C291" s="290"/>
      <c r="D291" s="273"/>
      <c r="E291" s="273"/>
      <c r="F291" s="217"/>
      <c r="G291" s="218"/>
      <c r="H291" s="218"/>
      <c r="I291" s="218"/>
      <c r="J291" s="218"/>
      <c r="K291" s="218"/>
      <c r="L291" s="218"/>
      <c r="M291" s="218"/>
      <c r="N291" s="218"/>
      <c r="O291" s="218"/>
      <c r="P291" s="218"/>
      <c r="Q291" s="218"/>
      <c r="R291" s="218"/>
      <c r="S291" s="218"/>
      <c r="T291" s="218"/>
      <c r="U291" s="218"/>
      <c r="V291" s="218"/>
      <c r="W291" s="219"/>
      <c r="X291" s="219"/>
    </row>
    <row r="292" spans="1:24" s="220" customFormat="1" ht="25.5">
      <c r="A292" s="300" t="s">
        <v>498</v>
      </c>
      <c r="B292" s="290"/>
      <c r="C292" s="290"/>
      <c r="D292" s="273"/>
      <c r="E292" s="273"/>
      <c r="F292" s="217"/>
      <c r="G292" s="218"/>
      <c r="H292" s="218"/>
      <c r="I292" s="218"/>
      <c r="J292" s="218"/>
      <c r="K292" s="218"/>
      <c r="L292" s="218"/>
      <c r="M292" s="218"/>
      <c r="N292" s="218"/>
      <c r="O292" s="218"/>
      <c r="P292" s="218"/>
      <c r="Q292" s="218"/>
      <c r="R292" s="218"/>
      <c r="S292" s="218"/>
      <c r="T292" s="218"/>
      <c r="U292" s="218"/>
      <c r="V292" s="218"/>
      <c r="W292" s="219"/>
      <c r="X292" s="219"/>
    </row>
    <row r="293" spans="1:24" s="220" customFormat="1" ht="15">
      <c r="A293" s="311" t="s">
        <v>3</v>
      </c>
      <c r="B293" s="290"/>
      <c r="C293" s="290"/>
      <c r="D293" s="273"/>
      <c r="E293" s="273"/>
      <c r="F293" s="217"/>
      <c r="G293" s="218"/>
      <c r="H293" s="218"/>
      <c r="I293" s="218"/>
      <c r="J293" s="218"/>
      <c r="K293" s="218"/>
      <c r="L293" s="218"/>
      <c r="M293" s="218"/>
      <c r="N293" s="218"/>
      <c r="O293" s="218"/>
      <c r="P293" s="218"/>
      <c r="Q293" s="218"/>
      <c r="R293" s="218"/>
      <c r="S293" s="218"/>
      <c r="T293" s="218"/>
      <c r="U293" s="218"/>
      <c r="V293" s="218"/>
      <c r="W293" s="219"/>
      <c r="X293" s="219"/>
    </row>
    <row r="294" spans="1:24" s="220" customFormat="1" ht="15">
      <c r="A294" s="332" t="s">
        <v>509</v>
      </c>
      <c r="B294" s="290"/>
      <c r="C294" s="290"/>
      <c r="D294" s="273"/>
      <c r="E294" s="273"/>
      <c r="F294" s="217"/>
      <c r="G294" s="218"/>
      <c r="H294" s="218"/>
      <c r="I294" s="218"/>
      <c r="J294" s="218"/>
      <c r="K294" s="218"/>
      <c r="L294" s="218"/>
      <c r="M294" s="218"/>
      <c r="N294" s="218"/>
      <c r="O294" s="218"/>
      <c r="P294" s="218"/>
      <c r="Q294" s="218"/>
      <c r="R294" s="218"/>
      <c r="S294" s="218"/>
      <c r="T294" s="218"/>
      <c r="U294" s="218"/>
      <c r="V294" s="218"/>
      <c r="W294" s="219"/>
      <c r="X294" s="219"/>
    </row>
    <row r="295" spans="1:24" s="220" customFormat="1" ht="15">
      <c r="A295" s="310" t="s">
        <v>197</v>
      </c>
      <c r="B295" s="290"/>
      <c r="C295" s="290"/>
      <c r="D295" s="273"/>
      <c r="E295" s="273"/>
      <c r="F295" s="217"/>
      <c r="G295" s="218"/>
      <c r="H295" s="218"/>
      <c r="I295" s="218"/>
      <c r="J295" s="218"/>
      <c r="K295" s="218"/>
      <c r="L295" s="218"/>
      <c r="M295" s="218"/>
      <c r="N295" s="218"/>
      <c r="O295" s="218"/>
      <c r="P295" s="218"/>
      <c r="Q295" s="218"/>
      <c r="R295" s="218"/>
      <c r="S295" s="218"/>
      <c r="T295" s="218"/>
      <c r="U295" s="218"/>
      <c r="V295" s="218"/>
      <c r="W295" s="219"/>
      <c r="X295" s="219"/>
    </row>
    <row r="296" spans="1:24" s="220" customFormat="1" ht="15">
      <c r="A296" s="310" t="s">
        <v>723</v>
      </c>
      <c r="B296" s="290"/>
      <c r="C296" s="290"/>
      <c r="D296" s="273"/>
      <c r="E296" s="273"/>
      <c r="F296" s="217"/>
      <c r="G296" s="218"/>
      <c r="H296" s="218"/>
      <c r="I296" s="218"/>
      <c r="J296" s="218"/>
      <c r="K296" s="218"/>
      <c r="L296" s="218"/>
      <c r="M296" s="218"/>
      <c r="N296" s="218"/>
      <c r="O296" s="218"/>
      <c r="P296" s="218"/>
      <c r="Q296" s="218"/>
      <c r="R296" s="218"/>
      <c r="S296" s="218"/>
      <c r="T296" s="218"/>
      <c r="U296" s="218"/>
      <c r="V296" s="218"/>
      <c r="W296" s="219"/>
      <c r="X296" s="219"/>
    </row>
    <row r="297" spans="1:24" s="220" customFormat="1" ht="13.5" customHeight="1">
      <c r="A297" s="331"/>
      <c r="B297" s="290"/>
      <c r="C297" s="290"/>
      <c r="D297" s="273"/>
      <c r="E297" s="273"/>
      <c r="F297" s="217"/>
      <c r="G297" s="218"/>
      <c r="H297" s="218"/>
      <c r="I297" s="218"/>
      <c r="J297" s="218"/>
      <c r="K297" s="218"/>
      <c r="L297" s="218"/>
      <c r="M297" s="218"/>
      <c r="N297" s="218"/>
      <c r="O297" s="218"/>
      <c r="P297" s="218"/>
      <c r="Q297" s="218"/>
      <c r="R297" s="218"/>
      <c r="S297" s="218"/>
      <c r="T297" s="218"/>
      <c r="U297" s="218"/>
      <c r="V297" s="218"/>
      <c r="W297" s="219"/>
      <c r="X297" s="219"/>
    </row>
    <row r="298" spans="1:24" s="220" customFormat="1" ht="15">
      <c r="A298" s="333" t="s">
        <v>510</v>
      </c>
      <c r="B298" s="290"/>
      <c r="C298" s="290"/>
      <c r="D298" s="273"/>
      <c r="E298" s="273"/>
      <c r="F298" s="217"/>
      <c r="G298" s="218"/>
      <c r="H298" s="218"/>
      <c r="I298" s="218"/>
      <c r="J298" s="218"/>
      <c r="K298" s="218"/>
      <c r="L298" s="218"/>
      <c r="M298" s="218"/>
      <c r="N298" s="218"/>
      <c r="O298" s="218"/>
      <c r="P298" s="218"/>
      <c r="Q298" s="218"/>
      <c r="R298" s="218"/>
      <c r="S298" s="218"/>
      <c r="T298" s="218"/>
      <c r="U298" s="218"/>
      <c r="V298" s="218"/>
      <c r="W298" s="219"/>
      <c r="X298" s="219"/>
    </row>
    <row r="299" spans="1:24" s="220" customFormat="1" ht="15">
      <c r="A299" s="310" t="s">
        <v>511</v>
      </c>
      <c r="B299" s="290"/>
      <c r="C299" s="290"/>
      <c r="D299" s="273"/>
      <c r="E299" s="273"/>
      <c r="F299" s="217"/>
      <c r="G299" s="218"/>
      <c r="H299" s="218"/>
      <c r="I299" s="218"/>
      <c r="J299" s="218"/>
      <c r="K299" s="218"/>
      <c r="L299" s="218"/>
      <c r="M299" s="218"/>
      <c r="N299" s="218"/>
      <c r="O299" s="218"/>
      <c r="P299" s="218"/>
      <c r="Q299" s="218"/>
      <c r="R299" s="218"/>
      <c r="S299" s="218"/>
      <c r="T299" s="218"/>
      <c r="U299" s="218"/>
      <c r="V299" s="218"/>
      <c r="W299" s="219"/>
      <c r="X299" s="219"/>
    </row>
    <row r="300" spans="1:24" s="220" customFormat="1" ht="15">
      <c r="A300" s="310" t="s">
        <v>724</v>
      </c>
      <c r="B300" s="290"/>
      <c r="C300" s="290"/>
      <c r="D300" s="273"/>
      <c r="E300" s="273"/>
      <c r="F300" s="217"/>
      <c r="G300" s="218"/>
      <c r="H300" s="218"/>
      <c r="I300" s="218"/>
      <c r="J300" s="218"/>
      <c r="K300" s="218"/>
      <c r="L300" s="218"/>
      <c r="M300" s="218"/>
      <c r="N300" s="218"/>
      <c r="O300" s="218"/>
      <c r="P300" s="218"/>
      <c r="Q300" s="218"/>
      <c r="R300" s="218"/>
      <c r="S300" s="218"/>
      <c r="T300" s="218"/>
      <c r="U300" s="218"/>
      <c r="V300" s="218"/>
      <c r="W300" s="219"/>
      <c r="X300" s="219"/>
    </row>
    <row r="301" spans="1:24" s="220" customFormat="1" ht="12.75" customHeight="1">
      <c r="A301" s="269"/>
      <c r="B301" s="290"/>
      <c r="C301" s="290"/>
      <c r="D301" s="273"/>
      <c r="E301" s="273"/>
      <c r="F301" s="217"/>
      <c r="G301" s="218"/>
      <c r="H301" s="218"/>
      <c r="I301" s="218"/>
      <c r="J301" s="218"/>
      <c r="K301" s="218"/>
      <c r="L301" s="218"/>
      <c r="M301" s="218"/>
      <c r="N301" s="218"/>
      <c r="O301" s="218"/>
      <c r="P301" s="218"/>
      <c r="Q301" s="218"/>
      <c r="R301" s="218"/>
      <c r="S301" s="218"/>
      <c r="T301" s="218"/>
      <c r="U301" s="218"/>
      <c r="V301" s="218"/>
      <c r="W301" s="219"/>
      <c r="X301" s="219"/>
    </row>
    <row r="302" spans="1:24" s="220" customFormat="1" ht="25.5">
      <c r="A302" s="333" t="s">
        <v>354</v>
      </c>
      <c r="B302" s="290"/>
      <c r="C302" s="290"/>
      <c r="D302" s="273"/>
      <c r="E302" s="273"/>
      <c r="F302" s="217"/>
      <c r="G302" s="218"/>
      <c r="H302" s="218"/>
      <c r="I302" s="218"/>
      <c r="J302" s="218"/>
      <c r="K302" s="218"/>
      <c r="L302" s="218"/>
      <c r="M302" s="218"/>
      <c r="N302" s="218"/>
      <c r="O302" s="218"/>
      <c r="P302" s="218"/>
      <c r="Q302" s="218"/>
      <c r="R302" s="218"/>
      <c r="S302" s="218"/>
      <c r="T302" s="218"/>
      <c r="U302" s="218"/>
      <c r="V302" s="218"/>
      <c r="W302" s="219"/>
      <c r="X302" s="219"/>
    </row>
    <row r="303" spans="1:24" s="220" customFormat="1" ht="15">
      <c r="A303" s="331" t="s">
        <v>512</v>
      </c>
      <c r="B303" s="290"/>
      <c r="C303" s="290"/>
      <c r="D303" s="273"/>
      <c r="E303" s="273"/>
      <c r="F303" s="217"/>
      <c r="G303" s="218"/>
      <c r="H303" s="218"/>
      <c r="I303" s="218"/>
      <c r="J303" s="218"/>
      <c r="K303" s="218"/>
      <c r="L303" s="218"/>
      <c r="M303" s="218"/>
      <c r="N303" s="218"/>
      <c r="O303" s="218"/>
      <c r="P303" s="218"/>
      <c r="Q303" s="218"/>
      <c r="R303" s="218"/>
      <c r="S303" s="218"/>
      <c r="T303" s="218"/>
      <c r="U303" s="218"/>
      <c r="V303" s="218"/>
      <c r="W303" s="219"/>
      <c r="X303" s="219"/>
    </row>
    <row r="304" spans="1:24" s="220" customFormat="1" ht="15">
      <c r="A304" s="331" t="s">
        <v>704</v>
      </c>
      <c r="B304" s="290"/>
      <c r="C304" s="290"/>
      <c r="D304" s="273"/>
      <c r="E304" s="273"/>
      <c r="F304" s="217"/>
      <c r="G304" s="218"/>
      <c r="H304" s="218"/>
      <c r="I304" s="218"/>
      <c r="J304" s="218"/>
      <c r="K304" s="218"/>
      <c r="L304" s="218"/>
      <c r="M304" s="218"/>
      <c r="N304" s="218"/>
      <c r="O304" s="218"/>
      <c r="P304" s="218"/>
      <c r="Q304" s="218"/>
      <c r="R304" s="218"/>
      <c r="S304" s="218"/>
      <c r="T304" s="218"/>
      <c r="U304" s="218"/>
      <c r="V304" s="218"/>
      <c r="W304" s="219"/>
      <c r="X304" s="219"/>
    </row>
    <row r="305" spans="1:24" s="220" customFormat="1" ht="15">
      <c r="A305" s="331"/>
      <c r="B305" s="290"/>
      <c r="C305" s="290"/>
      <c r="D305" s="273"/>
      <c r="E305" s="273"/>
      <c r="F305" s="217"/>
      <c r="G305" s="218"/>
      <c r="H305" s="218"/>
      <c r="I305" s="218"/>
      <c r="J305" s="218"/>
      <c r="K305" s="218"/>
      <c r="L305" s="218"/>
      <c r="M305" s="218"/>
      <c r="N305" s="218"/>
      <c r="O305" s="218"/>
      <c r="P305" s="218"/>
      <c r="Q305" s="218"/>
      <c r="R305" s="218"/>
      <c r="S305" s="218"/>
      <c r="T305" s="218"/>
      <c r="U305" s="218"/>
      <c r="V305" s="218"/>
      <c r="W305" s="219"/>
      <c r="X305" s="219"/>
    </row>
    <row r="306" spans="1:24" s="220" customFormat="1" ht="56.25" customHeight="1">
      <c r="A306" s="334" t="s">
        <v>774</v>
      </c>
      <c r="B306" s="361"/>
      <c r="C306" s="361"/>
      <c r="D306" s="360"/>
      <c r="E306" s="273"/>
      <c r="F306" s="217"/>
      <c r="G306" s="218"/>
      <c r="H306" s="218"/>
      <c r="I306" s="218"/>
      <c r="J306" s="218"/>
      <c r="K306" s="218"/>
      <c r="L306" s="218"/>
      <c r="M306" s="218"/>
      <c r="N306" s="218"/>
      <c r="O306" s="218"/>
      <c r="P306" s="218"/>
      <c r="Q306" s="218"/>
      <c r="R306" s="218"/>
      <c r="S306" s="218"/>
      <c r="T306" s="218"/>
      <c r="U306" s="218"/>
      <c r="V306" s="218"/>
      <c r="W306" s="219"/>
      <c r="X306" s="219"/>
    </row>
    <row r="307" spans="1:24" s="220" customFormat="1" ht="15.75" customHeight="1">
      <c r="A307" s="331"/>
      <c r="B307" s="290"/>
      <c r="C307" s="290"/>
      <c r="D307" s="273"/>
      <c r="E307" s="273"/>
      <c r="F307" s="217"/>
      <c r="G307" s="218"/>
      <c r="H307" s="218"/>
      <c r="I307" s="218"/>
      <c r="J307" s="218"/>
      <c r="K307" s="218"/>
      <c r="L307" s="218"/>
      <c r="M307" s="218"/>
      <c r="N307" s="218"/>
      <c r="O307" s="218"/>
      <c r="P307" s="218"/>
      <c r="Q307" s="218"/>
      <c r="R307" s="218"/>
      <c r="S307" s="218"/>
      <c r="T307" s="218"/>
      <c r="U307" s="218"/>
      <c r="V307" s="218"/>
      <c r="W307" s="219"/>
      <c r="X307" s="219"/>
    </row>
    <row r="308" spans="1:24" s="220" customFormat="1" ht="15.75" customHeight="1">
      <c r="A308" s="331"/>
      <c r="B308" s="290"/>
      <c r="C308" s="290"/>
      <c r="D308" s="273"/>
      <c r="E308" s="273"/>
      <c r="F308" s="217"/>
      <c r="G308" s="218"/>
      <c r="H308" s="218"/>
      <c r="I308" s="218"/>
      <c r="J308" s="218"/>
      <c r="K308" s="218"/>
      <c r="L308" s="218"/>
      <c r="M308" s="218"/>
      <c r="N308" s="218"/>
      <c r="O308" s="218"/>
      <c r="P308" s="218"/>
      <c r="Q308" s="218"/>
      <c r="R308" s="218"/>
      <c r="S308" s="218"/>
      <c r="T308" s="218"/>
      <c r="U308" s="218"/>
      <c r="V308" s="218"/>
      <c r="W308" s="219"/>
      <c r="X308" s="219"/>
    </row>
    <row r="309" spans="1:24" s="255" customFormat="1" ht="15.75">
      <c r="A309" s="325" t="s">
        <v>465</v>
      </c>
      <c r="B309" s="335"/>
      <c r="C309" s="335"/>
      <c r="D309" s="336"/>
      <c r="E309" s="336"/>
      <c r="F309" s="252"/>
      <c r="G309" s="253"/>
      <c r="H309" s="253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253"/>
      <c r="T309" s="253"/>
      <c r="U309" s="253"/>
      <c r="V309" s="253"/>
      <c r="W309" s="254"/>
      <c r="X309" s="254"/>
    </row>
    <row r="310" spans="1:24" s="220" customFormat="1" ht="15">
      <c r="A310" s="269"/>
      <c r="B310" s="290"/>
      <c r="C310" s="290"/>
      <c r="D310" s="273"/>
      <c r="E310" s="273"/>
      <c r="F310" s="217"/>
      <c r="G310" s="218"/>
      <c r="H310" s="218"/>
      <c r="I310" s="218"/>
      <c r="J310" s="218"/>
      <c r="K310" s="218"/>
      <c r="L310" s="218"/>
      <c r="M310" s="218"/>
      <c r="N310" s="218"/>
      <c r="O310" s="218"/>
      <c r="P310" s="218"/>
      <c r="Q310" s="218"/>
      <c r="R310" s="218"/>
      <c r="S310" s="218"/>
      <c r="T310" s="218"/>
      <c r="U310" s="218"/>
      <c r="V310" s="218"/>
      <c r="W310" s="219"/>
      <c r="X310" s="219"/>
    </row>
    <row r="311" spans="1:255" s="234" customFormat="1" ht="14.25">
      <c r="A311" s="291" t="s">
        <v>775</v>
      </c>
      <c r="B311" s="290"/>
      <c r="C311" s="290"/>
      <c r="D311" s="273"/>
      <c r="E311" s="273"/>
      <c r="F311" s="230"/>
      <c r="G311" s="231"/>
      <c r="H311" s="231"/>
      <c r="I311" s="231"/>
      <c r="J311" s="231"/>
      <c r="K311" s="231"/>
      <c r="L311" s="231"/>
      <c r="M311" s="231"/>
      <c r="N311" s="231"/>
      <c r="O311" s="231"/>
      <c r="P311" s="231"/>
      <c r="Q311" s="231"/>
      <c r="R311" s="231"/>
      <c r="S311" s="231"/>
      <c r="T311" s="231"/>
      <c r="U311" s="231"/>
      <c r="V311" s="231"/>
      <c r="W311" s="232"/>
      <c r="X311" s="232"/>
      <c r="Y311" s="233"/>
      <c r="Z311" s="233"/>
      <c r="AA311" s="233"/>
      <c r="AB311" s="233"/>
      <c r="AC311" s="233"/>
      <c r="AD311" s="233"/>
      <c r="AE311" s="233"/>
      <c r="AF311" s="233"/>
      <c r="AG311" s="233"/>
      <c r="AH311" s="233"/>
      <c r="AI311" s="233"/>
      <c r="AJ311" s="233"/>
      <c r="AK311" s="233"/>
      <c r="AL311" s="233"/>
      <c r="AM311" s="233"/>
      <c r="AN311" s="233"/>
      <c r="AO311" s="233"/>
      <c r="AP311" s="233"/>
      <c r="AQ311" s="233"/>
      <c r="AR311" s="233"/>
      <c r="AS311" s="233"/>
      <c r="AT311" s="233"/>
      <c r="AU311" s="233"/>
      <c r="AV311" s="233"/>
      <c r="AW311" s="233"/>
      <c r="AX311" s="233"/>
      <c r="AY311" s="233"/>
      <c r="AZ311" s="233"/>
      <c r="BA311" s="233"/>
      <c r="BB311" s="233"/>
      <c r="BC311" s="233"/>
      <c r="BD311" s="233"/>
      <c r="BE311" s="233"/>
      <c r="BF311" s="233"/>
      <c r="BG311" s="233"/>
      <c r="BH311" s="233"/>
      <c r="BI311" s="233"/>
      <c r="BJ311" s="233"/>
      <c r="BK311" s="233"/>
      <c r="BL311" s="233"/>
      <c r="BM311" s="233"/>
      <c r="BN311" s="233"/>
      <c r="BO311" s="233"/>
      <c r="BP311" s="233"/>
      <c r="BQ311" s="233"/>
      <c r="BR311" s="233"/>
      <c r="BS311" s="233"/>
      <c r="BT311" s="233"/>
      <c r="BU311" s="233"/>
      <c r="BV311" s="233"/>
      <c r="BW311" s="233"/>
      <c r="BX311" s="233"/>
      <c r="BY311" s="233"/>
      <c r="BZ311" s="233"/>
      <c r="CA311" s="233"/>
      <c r="CB311" s="233"/>
      <c r="CC311" s="233"/>
      <c r="CD311" s="233"/>
      <c r="CE311" s="233"/>
      <c r="CF311" s="233"/>
      <c r="CG311" s="233"/>
      <c r="CH311" s="233"/>
      <c r="CI311" s="233"/>
      <c r="CJ311" s="233"/>
      <c r="CK311" s="233"/>
      <c r="CL311" s="233"/>
      <c r="CM311" s="233"/>
      <c r="CN311" s="233"/>
      <c r="CO311" s="233"/>
      <c r="CP311" s="233"/>
      <c r="CQ311" s="233"/>
      <c r="CR311" s="233"/>
      <c r="CS311" s="233"/>
      <c r="CT311" s="233"/>
      <c r="CU311" s="233"/>
      <c r="CV311" s="233"/>
      <c r="CW311" s="233"/>
      <c r="CX311" s="233"/>
      <c r="CY311" s="233"/>
      <c r="CZ311" s="233"/>
      <c r="DA311" s="233"/>
      <c r="DB311" s="233"/>
      <c r="DC311" s="233"/>
      <c r="DD311" s="233"/>
      <c r="DE311" s="233"/>
      <c r="DF311" s="233"/>
      <c r="DG311" s="233"/>
      <c r="DH311" s="233"/>
      <c r="DI311" s="233"/>
      <c r="DJ311" s="233"/>
      <c r="DK311" s="233"/>
      <c r="DL311" s="233"/>
      <c r="DM311" s="233"/>
      <c r="DN311" s="233"/>
      <c r="DO311" s="233"/>
      <c r="DP311" s="233"/>
      <c r="DQ311" s="233"/>
      <c r="DR311" s="233"/>
      <c r="DS311" s="233"/>
      <c r="DT311" s="233"/>
      <c r="DU311" s="233"/>
      <c r="DV311" s="233"/>
      <c r="DW311" s="233"/>
      <c r="DX311" s="233"/>
      <c r="DY311" s="233"/>
      <c r="DZ311" s="233"/>
      <c r="EA311" s="233"/>
      <c r="EB311" s="233"/>
      <c r="EC311" s="233"/>
      <c r="ED311" s="233"/>
      <c r="EE311" s="233"/>
      <c r="EF311" s="233"/>
      <c r="EG311" s="233"/>
      <c r="EH311" s="233"/>
      <c r="EI311" s="233"/>
      <c r="EJ311" s="233"/>
      <c r="EK311" s="233"/>
      <c r="EL311" s="233"/>
      <c r="EM311" s="233"/>
      <c r="EN311" s="233"/>
      <c r="EO311" s="233"/>
      <c r="EP311" s="233"/>
      <c r="EQ311" s="233"/>
      <c r="ER311" s="233"/>
      <c r="ES311" s="233"/>
      <c r="ET311" s="233"/>
      <c r="EU311" s="233"/>
      <c r="EV311" s="233"/>
      <c r="EW311" s="233"/>
      <c r="EX311" s="233"/>
      <c r="EY311" s="233"/>
      <c r="EZ311" s="233"/>
      <c r="FA311" s="233"/>
      <c r="FB311" s="233"/>
      <c r="FC311" s="233"/>
      <c r="FD311" s="233"/>
      <c r="FE311" s="233"/>
      <c r="FF311" s="233"/>
      <c r="FG311" s="233"/>
      <c r="FH311" s="233"/>
      <c r="FI311" s="233"/>
      <c r="FJ311" s="233"/>
      <c r="FK311" s="233"/>
      <c r="FL311" s="233"/>
      <c r="FM311" s="233"/>
      <c r="FN311" s="233"/>
      <c r="FO311" s="233"/>
      <c r="FP311" s="233"/>
      <c r="FQ311" s="233"/>
      <c r="FR311" s="233"/>
      <c r="FS311" s="233"/>
      <c r="FT311" s="233"/>
      <c r="FU311" s="233"/>
      <c r="FV311" s="233"/>
      <c r="FW311" s="233"/>
      <c r="FX311" s="233"/>
      <c r="FY311" s="233"/>
      <c r="FZ311" s="233"/>
      <c r="GA311" s="233"/>
      <c r="GB311" s="233"/>
      <c r="GC311" s="233"/>
      <c r="GD311" s="233"/>
      <c r="GE311" s="233"/>
      <c r="GF311" s="233"/>
      <c r="GG311" s="233"/>
      <c r="GH311" s="233"/>
      <c r="GI311" s="233"/>
      <c r="GJ311" s="233"/>
      <c r="GK311" s="233"/>
      <c r="GL311" s="233"/>
      <c r="GM311" s="233"/>
      <c r="GN311" s="233"/>
      <c r="GO311" s="233"/>
      <c r="GP311" s="233"/>
      <c r="GQ311" s="233"/>
      <c r="GR311" s="233"/>
      <c r="GS311" s="233"/>
      <c r="GT311" s="233"/>
      <c r="GU311" s="233"/>
      <c r="GV311" s="233"/>
      <c r="GW311" s="233"/>
      <c r="GX311" s="233"/>
      <c r="GY311" s="233"/>
      <c r="GZ311" s="233"/>
      <c r="HA311" s="233"/>
      <c r="HB311" s="233"/>
      <c r="HC311" s="233"/>
      <c r="HD311" s="233"/>
      <c r="HE311" s="233"/>
      <c r="HF311" s="233"/>
      <c r="HG311" s="233"/>
      <c r="HH311" s="233"/>
      <c r="HI311" s="233"/>
      <c r="HJ311" s="233"/>
      <c r="HK311" s="233"/>
      <c r="HL311" s="233"/>
      <c r="HM311" s="233"/>
      <c r="HN311" s="233"/>
      <c r="HO311" s="233"/>
      <c r="HP311" s="233"/>
      <c r="HQ311" s="233"/>
      <c r="HR311" s="233"/>
      <c r="HS311" s="233"/>
      <c r="HT311" s="233"/>
      <c r="HU311" s="233"/>
      <c r="HV311" s="233"/>
      <c r="HW311" s="233"/>
      <c r="HX311" s="233"/>
      <c r="HY311" s="233"/>
      <c r="HZ311" s="233"/>
      <c r="IA311" s="233"/>
      <c r="IB311" s="233"/>
      <c r="IC311" s="233"/>
      <c r="ID311" s="233"/>
      <c r="IE311" s="233"/>
      <c r="IF311" s="233"/>
      <c r="IG311" s="233"/>
      <c r="IH311" s="233"/>
      <c r="II311" s="233"/>
      <c r="IJ311" s="233"/>
      <c r="IK311" s="233"/>
      <c r="IL311" s="233"/>
      <c r="IM311" s="233"/>
      <c r="IN311" s="233"/>
      <c r="IO311" s="233"/>
      <c r="IP311" s="233"/>
      <c r="IQ311" s="233"/>
      <c r="IR311" s="233"/>
      <c r="IS311" s="233"/>
      <c r="IT311" s="233"/>
      <c r="IU311" s="233"/>
    </row>
    <row r="312" spans="1:24" s="220" customFormat="1" ht="15">
      <c r="A312" s="269" t="s">
        <v>513</v>
      </c>
      <c r="B312" s="290"/>
      <c r="C312" s="290"/>
      <c r="D312" s="273"/>
      <c r="E312" s="273"/>
      <c r="F312" s="217"/>
      <c r="G312" s="218"/>
      <c r="H312" s="218"/>
      <c r="I312" s="218"/>
      <c r="J312" s="218"/>
      <c r="K312" s="218"/>
      <c r="L312" s="218"/>
      <c r="M312" s="218"/>
      <c r="N312" s="218"/>
      <c r="O312" s="218"/>
      <c r="P312" s="218"/>
      <c r="Q312" s="218"/>
      <c r="R312" s="218"/>
      <c r="S312" s="218"/>
      <c r="T312" s="218"/>
      <c r="U312" s="218"/>
      <c r="V312" s="218"/>
      <c r="W312" s="219"/>
      <c r="X312" s="219"/>
    </row>
    <row r="313" spans="1:24" s="220" customFormat="1" ht="15">
      <c r="A313" s="333" t="s">
        <v>755</v>
      </c>
      <c r="B313" s="290"/>
      <c r="C313" s="290"/>
      <c r="D313" s="273"/>
      <c r="E313" s="273"/>
      <c r="F313" s="217"/>
      <c r="G313" s="218"/>
      <c r="H313" s="218"/>
      <c r="I313" s="218"/>
      <c r="J313" s="218"/>
      <c r="K313" s="218"/>
      <c r="L313" s="218"/>
      <c r="M313" s="218"/>
      <c r="N313" s="218"/>
      <c r="O313" s="218"/>
      <c r="P313" s="218"/>
      <c r="Q313" s="218"/>
      <c r="R313" s="218"/>
      <c r="S313" s="218"/>
      <c r="T313" s="218"/>
      <c r="U313" s="218"/>
      <c r="V313" s="218"/>
      <c r="W313" s="219"/>
      <c r="X313" s="219"/>
    </row>
    <row r="314" spans="1:24" s="220" customFormat="1" ht="15">
      <c r="A314" s="329" t="s">
        <v>725</v>
      </c>
      <c r="B314" s="290"/>
      <c r="C314" s="290"/>
      <c r="D314" s="273"/>
      <c r="E314" s="273"/>
      <c r="F314" s="217"/>
      <c r="G314" s="218"/>
      <c r="H314" s="218"/>
      <c r="I314" s="218"/>
      <c r="J314" s="218"/>
      <c r="K314" s="218"/>
      <c r="L314" s="218"/>
      <c r="M314" s="218"/>
      <c r="N314" s="218"/>
      <c r="O314" s="218"/>
      <c r="P314" s="218"/>
      <c r="Q314" s="218"/>
      <c r="R314" s="218"/>
      <c r="S314" s="218"/>
      <c r="T314" s="218"/>
      <c r="U314" s="218"/>
      <c r="V314" s="218"/>
      <c r="W314" s="219"/>
      <c r="X314" s="219"/>
    </row>
    <row r="315" spans="1:24" s="220" customFormat="1" ht="15">
      <c r="A315" s="329" t="s">
        <v>741</v>
      </c>
      <c r="B315" s="290"/>
      <c r="C315" s="290"/>
      <c r="D315" s="273"/>
      <c r="E315" s="273"/>
      <c r="F315" s="217"/>
      <c r="G315" s="218"/>
      <c r="H315" s="218"/>
      <c r="I315" s="218"/>
      <c r="J315" s="218"/>
      <c r="K315" s="218"/>
      <c r="L315" s="218"/>
      <c r="M315" s="218"/>
      <c r="N315" s="218"/>
      <c r="O315" s="218"/>
      <c r="P315" s="218"/>
      <c r="Q315" s="218"/>
      <c r="R315" s="218"/>
      <c r="S315" s="218"/>
      <c r="T315" s="218"/>
      <c r="U315" s="218"/>
      <c r="V315" s="218"/>
      <c r="W315" s="219"/>
      <c r="X315" s="219"/>
    </row>
    <row r="316" spans="1:24" s="220" customFormat="1" ht="17.25" customHeight="1">
      <c r="A316" s="309" t="s">
        <v>742</v>
      </c>
      <c r="B316" s="290"/>
      <c r="C316" s="290"/>
      <c r="D316" s="273"/>
      <c r="E316" s="273"/>
      <c r="F316" s="217"/>
      <c r="G316" s="218"/>
      <c r="H316" s="218"/>
      <c r="I316" s="218"/>
      <c r="J316" s="218"/>
      <c r="K316" s="218"/>
      <c r="L316" s="218"/>
      <c r="M316" s="218"/>
      <c r="N316" s="218"/>
      <c r="O316" s="218"/>
      <c r="P316" s="218"/>
      <c r="Q316" s="218"/>
      <c r="R316" s="218"/>
      <c r="S316" s="218"/>
      <c r="T316" s="218"/>
      <c r="U316" s="218"/>
      <c r="V316" s="218"/>
      <c r="W316" s="219"/>
      <c r="X316" s="219"/>
    </row>
    <row r="317" spans="1:24" s="220" customFormat="1" ht="19.5" customHeight="1">
      <c r="A317" s="309" t="s">
        <v>751</v>
      </c>
      <c r="B317" s="290"/>
      <c r="C317" s="290"/>
      <c r="D317" s="273"/>
      <c r="E317" s="273"/>
      <c r="F317" s="217"/>
      <c r="G317" s="218"/>
      <c r="H317" s="218"/>
      <c r="I317" s="218"/>
      <c r="J317" s="218"/>
      <c r="K317" s="218"/>
      <c r="L317" s="218"/>
      <c r="M317" s="218"/>
      <c r="N317" s="218"/>
      <c r="O317" s="218"/>
      <c r="P317" s="218"/>
      <c r="Q317" s="218"/>
      <c r="R317" s="218"/>
      <c r="S317" s="218"/>
      <c r="T317" s="218"/>
      <c r="U317" s="218"/>
      <c r="V317" s="218"/>
      <c r="W317" s="219"/>
      <c r="X317" s="219"/>
    </row>
    <row r="318" spans="1:24" s="220" customFormat="1" ht="15">
      <c r="A318" s="329" t="s">
        <v>752</v>
      </c>
      <c r="B318" s="290"/>
      <c r="C318" s="290"/>
      <c r="D318" s="273"/>
      <c r="E318" s="273"/>
      <c r="F318" s="217"/>
      <c r="G318" s="218"/>
      <c r="H318" s="218"/>
      <c r="I318" s="218"/>
      <c r="J318" s="218"/>
      <c r="K318" s="218"/>
      <c r="L318" s="218"/>
      <c r="M318" s="218"/>
      <c r="N318" s="218"/>
      <c r="O318" s="218"/>
      <c r="P318" s="218"/>
      <c r="Q318" s="218"/>
      <c r="R318" s="218"/>
      <c r="S318" s="218"/>
      <c r="T318" s="218"/>
      <c r="U318" s="218"/>
      <c r="V318" s="218"/>
      <c r="W318" s="219"/>
      <c r="X318" s="219"/>
    </row>
    <row r="319" spans="1:24" s="220" customFormat="1" ht="15">
      <c r="A319" s="329" t="s">
        <v>425</v>
      </c>
      <c r="B319" s="290"/>
      <c r="C319" s="290"/>
      <c r="D319" s="273"/>
      <c r="E319" s="273"/>
      <c r="F319" s="217"/>
      <c r="G319" s="218"/>
      <c r="H319" s="218"/>
      <c r="I319" s="218"/>
      <c r="J319" s="218"/>
      <c r="K319" s="218"/>
      <c r="L319" s="218"/>
      <c r="M319" s="218"/>
      <c r="N319" s="218"/>
      <c r="O319" s="218"/>
      <c r="P319" s="218"/>
      <c r="Q319" s="218"/>
      <c r="R319" s="218"/>
      <c r="S319" s="218"/>
      <c r="T319" s="218"/>
      <c r="U319" s="218"/>
      <c r="V319" s="218"/>
      <c r="W319" s="219"/>
      <c r="X319" s="219"/>
    </row>
    <row r="320" spans="1:24" s="220" customFormat="1" ht="12.75" customHeight="1">
      <c r="A320" s="301"/>
      <c r="B320" s="290"/>
      <c r="C320" s="290"/>
      <c r="D320" s="273"/>
      <c r="E320" s="273"/>
      <c r="F320" s="217"/>
      <c r="G320" s="218"/>
      <c r="H320" s="218"/>
      <c r="I320" s="218"/>
      <c r="J320" s="218"/>
      <c r="K320" s="218"/>
      <c r="L320" s="218"/>
      <c r="M320" s="218"/>
      <c r="N320" s="218"/>
      <c r="O320" s="218"/>
      <c r="P320" s="218"/>
      <c r="Q320" s="218"/>
      <c r="R320" s="218"/>
      <c r="S320" s="218"/>
      <c r="T320" s="218"/>
      <c r="U320" s="218"/>
      <c r="V320" s="218"/>
      <c r="W320" s="219"/>
      <c r="X320" s="219"/>
    </row>
    <row r="321" spans="1:24" s="220" customFormat="1" ht="10.5" customHeight="1">
      <c r="A321" s="304"/>
      <c r="B321" s="290"/>
      <c r="C321" s="290"/>
      <c r="D321" s="273"/>
      <c r="E321" s="273"/>
      <c r="F321" s="217"/>
      <c r="G321" s="218"/>
      <c r="H321" s="218"/>
      <c r="I321" s="218"/>
      <c r="J321" s="218"/>
      <c r="K321" s="218"/>
      <c r="L321" s="218"/>
      <c r="M321" s="218"/>
      <c r="N321" s="218"/>
      <c r="O321" s="218"/>
      <c r="P321" s="218"/>
      <c r="Q321" s="218"/>
      <c r="R321" s="218"/>
      <c r="S321" s="218"/>
      <c r="T321" s="218"/>
      <c r="U321" s="218"/>
      <c r="V321" s="218"/>
      <c r="W321" s="219"/>
      <c r="X321" s="219"/>
    </row>
    <row r="322" spans="1:24" s="220" customFormat="1" ht="25.5">
      <c r="A322" s="333" t="s">
        <v>734</v>
      </c>
      <c r="B322" s="290"/>
      <c r="C322" s="290"/>
      <c r="D322" s="273"/>
      <c r="E322" s="273"/>
      <c r="F322" s="217"/>
      <c r="G322" s="218"/>
      <c r="H322" s="218"/>
      <c r="I322" s="218"/>
      <c r="J322" s="218"/>
      <c r="K322" s="218"/>
      <c r="L322" s="218"/>
      <c r="M322" s="218"/>
      <c r="N322" s="218"/>
      <c r="O322" s="218"/>
      <c r="P322" s="218"/>
      <c r="Q322" s="218"/>
      <c r="R322" s="218"/>
      <c r="S322" s="218"/>
      <c r="T322" s="218"/>
      <c r="U322" s="218"/>
      <c r="V322" s="218"/>
      <c r="W322" s="219"/>
      <c r="X322" s="219"/>
    </row>
    <row r="323" spans="1:24" s="220" customFormat="1" ht="24.75" customHeight="1">
      <c r="A323" s="301" t="s">
        <v>726</v>
      </c>
      <c r="B323" s="290"/>
      <c r="C323" s="290"/>
      <c r="D323" s="273"/>
      <c r="E323" s="273"/>
      <c r="F323" s="217"/>
      <c r="G323" s="218"/>
      <c r="H323" s="218"/>
      <c r="I323" s="218"/>
      <c r="J323" s="218"/>
      <c r="K323" s="218"/>
      <c r="L323" s="218"/>
      <c r="M323" s="218"/>
      <c r="N323" s="218"/>
      <c r="O323" s="218"/>
      <c r="P323" s="218"/>
      <c r="Q323" s="218"/>
      <c r="R323" s="218"/>
      <c r="S323" s="218"/>
      <c r="T323" s="218"/>
      <c r="U323" s="218"/>
      <c r="V323" s="218"/>
      <c r="W323" s="219"/>
      <c r="X323" s="219"/>
    </row>
    <row r="324" spans="1:24" s="220" customFormat="1" ht="15">
      <c r="A324" s="301" t="s">
        <v>706</v>
      </c>
      <c r="B324" s="290"/>
      <c r="C324" s="290"/>
      <c r="D324" s="273"/>
      <c r="E324" s="273"/>
      <c r="F324" s="217"/>
      <c r="G324" s="218"/>
      <c r="H324" s="218"/>
      <c r="I324" s="218"/>
      <c r="J324" s="218"/>
      <c r="K324" s="218"/>
      <c r="L324" s="218"/>
      <c r="M324" s="218"/>
      <c r="N324" s="218"/>
      <c r="O324" s="218"/>
      <c r="P324" s="218"/>
      <c r="Q324" s="218"/>
      <c r="R324" s="218"/>
      <c r="S324" s="218"/>
      <c r="T324" s="218"/>
      <c r="U324" s="218"/>
      <c r="V324" s="218"/>
      <c r="W324" s="219"/>
      <c r="X324" s="219"/>
    </row>
    <row r="325" spans="1:24" s="220" customFormat="1" ht="24" customHeight="1">
      <c r="A325" s="311" t="s">
        <v>707</v>
      </c>
      <c r="B325" s="290"/>
      <c r="C325" s="290"/>
      <c r="D325" s="273"/>
      <c r="E325" s="273"/>
      <c r="F325" s="217"/>
      <c r="G325" s="218"/>
      <c r="H325" s="218"/>
      <c r="I325" s="218"/>
      <c r="J325" s="218"/>
      <c r="K325" s="218"/>
      <c r="L325" s="218"/>
      <c r="M325" s="218"/>
      <c r="N325" s="218"/>
      <c r="O325" s="218"/>
      <c r="P325" s="218"/>
      <c r="Q325" s="218"/>
      <c r="R325" s="218"/>
      <c r="S325" s="218"/>
      <c r="T325" s="218"/>
      <c r="U325" s="218"/>
      <c r="V325" s="218"/>
      <c r="W325" s="219"/>
      <c r="X325" s="219"/>
    </row>
    <row r="326" spans="1:24" s="220" customFormat="1" ht="21" customHeight="1">
      <c r="A326" s="337" t="s">
        <v>470</v>
      </c>
      <c r="B326" s="290"/>
      <c r="C326" s="290"/>
      <c r="D326" s="273"/>
      <c r="E326" s="273"/>
      <c r="F326" s="217"/>
      <c r="G326" s="218"/>
      <c r="H326" s="218"/>
      <c r="I326" s="218"/>
      <c r="J326" s="218"/>
      <c r="K326" s="218"/>
      <c r="L326" s="218"/>
      <c r="M326" s="218"/>
      <c r="N326" s="218"/>
      <c r="O326" s="218"/>
      <c r="P326" s="218"/>
      <c r="Q326" s="218"/>
      <c r="R326" s="218"/>
      <c r="S326" s="218"/>
      <c r="T326" s="218"/>
      <c r="U326" s="218"/>
      <c r="V326" s="218"/>
      <c r="W326" s="219"/>
      <c r="X326" s="219"/>
    </row>
    <row r="327" spans="1:24" s="220" customFormat="1" ht="22.5" customHeight="1">
      <c r="A327" s="301" t="s">
        <v>708</v>
      </c>
      <c r="B327" s="290"/>
      <c r="C327" s="290"/>
      <c r="D327" s="273"/>
      <c r="E327" s="273"/>
      <c r="F327" s="217"/>
      <c r="G327" s="218"/>
      <c r="H327" s="218"/>
      <c r="I327" s="218"/>
      <c r="J327" s="218"/>
      <c r="K327" s="218"/>
      <c r="L327" s="218"/>
      <c r="M327" s="218"/>
      <c r="N327" s="218"/>
      <c r="O327" s="218"/>
      <c r="P327" s="218"/>
      <c r="Q327" s="218"/>
      <c r="R327" s="218"/>
      <c r="S327" s="218"/>
      <c r="T327" s="218"/>
      <c r="U327" s="218"/>
      <c r="V327" s="218"/>
      <c r="W327" s="219"/>
      <c r="X327" s="219"/>
    </row>
    <row r="328" spans="1:24" s="220" customFormat="1" ht="15">
      <c r="A328" s="301" t="s">
        <v>426</v>
      </c>
      <c r="B328" s="290"/>
      <c r="C328" s="290"/>
      <c r="D328" s="273"/>
      <c r="E328" s="273"/>
      <c r="F328" s="217"/>
      <c r="G328" s="218"/>
      <c r="H328" s="218"/>
      <c r="I328" s="218"/>
      <c r="J328" s="218"/>
      <c r="K328" s="218"/>
      <c r="L328" s="218"/>
      <c r="M328" s="218"/>
      <c r="N328" s="218"/>
      <c r="O328" s="218"/>
      <c r="P328" s="218"/>
      <c r="Q328" s="218"/>
      <c r="R328" s="218"/>
      <c r="S328" s="218"/>
      <c r="T328" s="218"/>
      <c r="U328" s="218"/>
      <c r="V328" s="218"/>
      <c r="W328" s="219"/>
      <c r="X328" s="219"/>
    </row>
    <row r="329" spans="1:24" s="220" customFormat="1" ht="15">
      <c r="A329" s="311"/>
      <c r="B329" s="290"/>
      <c r="C329" s="290"/>
      <c r="D329" s="273"/>
      <c r="E329" s="273"/>
      <c r="F329" s="217"/>
      <c r="G329" s="218"/>
      <c r="H329" s="218"/>
      <c r="I329" s="218"/>
      <c r="J329" s="218"/>
      <c r="K329" s="218"/>
      <c r="L329" s="218"/>
      <c r="M329" s="218"/>
      <c r="N329" s="218"/>
      <c r="O329" s="218"/>
      <c r="P329" s="218"/>
      <c r="Q329" s="218"/>
      <c r="R329" s="218"/>
      <c r="S329" s="218"/>
      <c r="T329" s="218"/>
      <c r="U329" s="218"/>
      <c r="V329" s="218"/>
      <c r="W329" s="219"/>
      <c r="X329" s="219"/>
    </row>
    <row r="330" spans="1:24" s="251" customFormat="1" ht="15.75">
      <c r="A330" s="338" t="s">
        <v>543</v>
      </c>
      <c r="B330" s="339"/>
      <c r="C330" s="339"/>
      <c r="D330" s="314"/>
      <c r="E330" s="314"/>
      <c r="F330" s="248"/>
      <c r="G330" s="249"/>
      <c r="H330" s="249"/>
      <c r="I330" s="249"/>
      <c r="J330" s="249"/>
      <c r="K330" s="249"/>
      <c r="L330" s="249"/>
      <c r="M330" s="249"/>
      <c r="N330" s="249"/>
      <c r="O330" s="249"/>
      <c r="P330" s="249"/>
      <c r="Q330" s="249"/>
      <c r="R330" s="249"/>
      <c r="S330" s="249"/>
      <c r="T330" s="249"/>
      <c r="U330" s="249"/>
      <c r="V330" s="249"/>
      <c r="W330" s="250"/>
      <c r="X330" s="250"/>
    </row>
    <row r="331" spans="1:24" s="220" customFormat="1" ht="15">
      <c r="A331" s="311"/>
      <c r="B331" s="290"/>
      <c r="C331" s="290"/>
      <c r="D331" s="273"/>
      <c r="E331" s="273"/>
      <c r="F331" s="217"/>
      <c r="G331" s="218"/>
      <c r="H331" s="218"/>
      <c r="I331" s="218"/>
      <c r="J331" s="218"/>
      <c r="K331" s="218"/>
      <c r="L331" s="218"/>
      <c r="M331" s="218"/>
      <c r="N331" s="218"/>
      <c r="O331" s="218"/>
      <c r="P331" s="218"/>
      <c r="Q331" s="218"/>
      <c r="R331" s="218"/>
      <c r="S331" s="218"/>
      <c r="T331" s="218"/>
      <c r="U331" s="218"/>
      <c r="V331" s="218"/>
      <c r="W331" s="219"/>
      <c r="X331" s="219"/>
    </row>
    <row r="332" spans="1:24" s="220" customFormat="1" ht="20.25" customHeight="1">
      <c r="A332" s="340" t="s">
        <v>700</v>
      </c>
      <c r="B332" s="341"/>
      <c r="C332" s="341"/>
      <c r="D332" s="342"/>
      <c r="E332" s="342"/>
      <c r="F332" s="217"/>
      <c r="G332" s="218"/>
      <c r="H332" s="218"/>
      <c r="I332" s="218"/>
      <c r="J332" s="218"/>
      <c r="K332" s="218"/>
      <c r="L332" s="218"/>
      <c r="M332" s="218"/>
      <c r="N332" s="218"/>
      <c r="O332" s="218"/>
      <c r="P332" s="218"/>
      <c r="Q332" s="218"/>
      <c r="R332" s="218"/>
      <c r="S332" s="218"/>
      <c r="T332" s="218"/>
      <c r="U332" s="218"/>
      <c r="V332" s="218"/>
      <c r="W332" s="219"/>
      <c r="X332" s="219"/>
    </row>
    <row r="333" spans="1:255" s="259" customFormat="1" ht="12.75" customHeight="1">
      <c r="A333" s="269"/>
      <c r="B333" s="290"/>
      <c r="C333" s="290"/>
      <c r="D333" s="273"/>
      <c r="E333" s="273"/>
      <c r="F333" s="256"/>
      <c r="G333" s="256"/>
      <c r="H333" s="256"/>
      <c r="I333" s="256"/>
      <c r="J333" s="256"/>
      <c r="K333" s="256"/>
      <c r="L333" s="256"/>
      <c r="M333" s="256"/>
      <c r="N333" s="256"/>
      <c r="O333" s="256"/>
      <c r="P333" s="256"/>
      <c r="Q333" s="256"/>
      <c r="R333" s="256"/>
      <c r="S333" s="256"/>
      <c r="T333" s="256"/>
      <c r="U333" s="256"/>
      <c r="V333" s="256"/>
      <c r="W333" s="257"/>
      <c r="X333" s="257"/>
      <c r="Y333" s="258"/>
      <c r="Z333" s="258"/>
      <c r="AA333" s="258"/>
      <c r="AB333" s="258"/>
      <c r="AC333" s="258"/>
      <c r="AD333" s="258"/>
      <c r="AE333" s="258"/>
      <c r="AF333" s="258"/>
      <c r="AG333" s="258"/>
      <c r="AH333" s="258"/>
      <c r="AI333" s="258"/>
      <c r="AJ333" s="258"/>
      <c r="AK333" s="258"/>
      <c r="AL333" s="258"/>
      <c r="AM333" s="258"/>
      <c r="AN333" s="258"/>
      <c r="AO333" s="258"/>
      <c r="AP333" s="258"/>
      <c r="AQ333" s="258"/>
      <c r="AR333" s="258"/>
      <c r="AS333" s="258"/>
      <c r="AT333" s="258"/>
      <c r="AU333" s="258"/>
      <c r="AV333" s="258"/>
      <c r="AW333" s="258"/>
      <c r="AX333" s="258"/>
      <c r="AY333" s="258"/>
      <c r="AZ333" s="258"/>
      <c r="BA333" s="258"/>
      <c r="BB333" s="258"/>
      <c r="BC333" s="258"/>
      <c r="BD333" s="258"/>
      <c r="BE333" s="258"/>
      <c r="BF333" s="258"/>
      <c r="BG333" s="258"/>
      <c r="BH333" s="258"/>
      <c r="BI333" s="258"/>
      <c r="BJ333" s="258"/>
      <c r="BK333" s="258"/>
      <c r="BL333" s="258"/>
      <c r="BM333" s="258"/>
      <c r="BN333" s="258"/>
      <c r="BO333" s="258"/>
      <c r="BP333" s="258"/>
      <c r="BQ333" s="258"/>
      <c r="BR333" s="258"/>
      <c r="BS333" s="258"/>
      <c r="BT333" s="258"/>
      <c r="BU333" s="258"/>
      <c r="BV333" s="258"/>
      <c r="BW333" s="258"/>
      <c r="BX333" s="258"/>
      <c r="BY333" s="258"/>
      <c r="BZ333" s="258"/>
      <c r="CA333" s="258"/>
      <c r="CB333" s="258"/>
      <c r="CC333" s="258"/>
      <c r="CD333" s="258"/>
      <c r="CE333" s="258"/>
      <c r="CF333" s="258"/>
      <c r="CG333" s="258"/>
      <c r="CH333" s="258"/>
      <c r="CI333" s="258"/>
      <c r="CJ333" s="258"/>
      <c r="CK333" s="258"/>
      <c r="CL333" s="258"/>
      <c r="CM333" s="258"/>
      <c r="CN333" s="258"/>
      <c r="CO333" s="258"/>
      <c r="CP333" s="258"/>
      <c r="CQ333" s="258"/>
      <c r="CR333" s="258"/>
      <c r="CS333" s="258"/>
      <c r="CT333" s="258"/>
      <c r="CU333" s="258"/>
      <c r="CV333" s="258"/>
      <c r="CW333" s="258"/>
      <c r="CX333" s="258"/>
      <c r="CY333" s="258"/>
      <c r="CZ333" s="258"/>
      <c r="DA333" s="258"/>
      <c r="DB333" s="258"/>
      <c r="DC333" s="258"/>
      <c r="DD333" s="258"/>
      <c r="DE333" s="258"/>
      <c r="DF333" s="258"/>
      <c r="DG333" s="258"/>
      <c r="DH333" s="258"/>
      <c r="DI333" s="258"/>
      <c r="DJ333" s="258"/>
      <c r="DK333" s="258"/>
      <c r="DL333" s="258"/>
      <c r="DM333" s="258"/>
      <c r="DN333" s="258"/>
      <c r="DO333" s="258"/>
      <c r="DP333" s="258"/>
      <c r="DQ333" s="258"/>
      <c r="DR333" s="258"/>
      <c r="DS333" s="258"/>
      <c r="DT333" s="258"/>
      <c r="DU333" s="258"/>
      <c r="DV333" s="258"/>
      <c r="DW333" s="258"/>
      <c r="DX333" s="258"/>
      <c r="DY333" s="258"/>
      <c r="DZ333" s="258"/>
      <c r="EA333" s="258"/>
      <c r="EB333" s="258"/>
      <c r="EC333" s="258"/>
      <c r="ED333" s="258"/>
      <c r="EE333" s="258"/>
      <c r="EF333" s="258"/>
      <c r="EG333" s="258"/>
      <c r="EH333" s="258"/>
      <c r="EI333" s="258"/>
      <c r="EJ333" s="258"/>
      <c r="EK333" s="258"/>
      <c r="EL333" s="258"/>
      <c r="EM333" s="258"/>
      <c r="EN333" s="258"/>
      <c r="EO333" s="258"/>
      <c r="EP333" s="258"/>
      <c r="EQ333" s="258"/>
      <c r="ER333" s="258"/>
      <c r="ES333" s="258"/>
      <c r="ET333" s="258"/>
      <c r="EU333" s="258"/>
      <c r="EV333" s="258"/>
      <c r="EW333" s="258"/>
      <c r="EX333" s="258"/>
      <c r="EY333" s="258"/>
      <c r="EZ333" s="258"/>
      <c r="FA333" s="258"/>
      <c r="FB333" s="258"/>
      <c r="FC333" s="258"/>
      <c r="FD333" s="258"/>
      <c r="FE333" s="258"/>
      <c r="FF333" s="258"/>
      <c r="FG333" s="258"/>
      <c r="FH333" s="258"/>
      <c r="FI333" s="258"/>
      <c r="FJ333" s="258"/>
      <c r="FK333" s="258"/>
      <c r="FL333" s="258"/>
      <c r="FM333" s="258"/>
      <c r="FN333" s="258"/>
      <c r="FO333" s="258"/>
      <c r="FP333" s="258"/>
      <c r="FQ333" s="258"/>
      <c r="FR333" s="258"/>
      <c r="FS333" s="258"/>
      <c r="FT333" s="258"/>
      <c r="FU333" s="258"/>
      <c r="FV333" s="258"/>
      <c r="FW333" s="258"/>
      <c r="FX333" s="258"/>
      <c r="FY333" s="258"/>
      <c r="FZ333" s="258"/>
      <c r="GA333" s="258"/>
      <c r="GB333" s="258"/>
      <c r="GC333" s="258"/>
      <c r="GD333" s="258"/>
      <c r="GE333" s="258"/>
      <c r="GF333" s="258"/>
      <c r="GG333" s="258"/>
      <c r="GH333" s="258"/>
      <c r="GI333" s="258"/>
      <c r="GJ333" s="258"/>
      <c r="GK333" s="258"/>
      <c r="GL333" s="258"/>
      <c r="GM333" s="258"/>
      <c r="GN333" s="258"/>
      <c r="GO333" s="258"/>
      <c r="GP333" s="258"/>
      <c r="GQ333" s="258"/>
      <c r="GR333" s="258"/>
      <c r="GS333" s="258"/>
      <c r="GT333" s="258"/>
      <c r="GU333" s="258"/>
      <c r="GV333" s="258"/>
      <c r="GW333" s="258"/>
      <c r="GX333" s="258"/>
      <c r="GY333" s="258"/>
      <c r="GZ333" s="258"/>
      <c r="HA333" s="258"/>
      <c r="HB333" s="258"/>
      <c r="HC333" s="258"/>
      <c r="HD333" s="258"/>
      <c r="HE333" s="258"/>
      <c r="HF333" s="258"/>
      <c r="HG333" s="258"/>
      <c r="HH333" s="258"/>
      <c r="HI333" s="258"/>
      <c r="HJ333" s="258"/>
      <c r="HK333" s="258"/>
      <c r="HL333" s="258"/>
      <c r="HM333" s="258"/>
      <c r="HN333" s="258"/>
      <c r="HO333" s="258"/>
      <c r="HP333" s="258"/>
      <c r="HQ333" s="258"/>
      <c r="HR333" s="258"/>
      <c r="HS333" s="258"/>
      <c r="HT333" s="258"/>
      <c r="HU333" s="258"/>
      <c r="HV333" s="258"/>
      <c r="HW333" s="258"/>
      <c r="HX333" s="258"/>
      <c r="HY333" s="258"/>
      <c r="HZ333" s="258"/>
      <c r="IA333" s="258"/>
      <c r="IB333" s="258"/>
      <c r="IC333" s="258"/>
      <c r="ID333" s="258"/>
      <c r="IE333" s="258"/>
      <c r="IF333" s="258"/>
      <c r="IG333" s="258"/>
      <c r="IH333" s="258"/>
      <c r="II333" s="258"/>
      <c r="IJ333" s="258"/>
      <c r="IK333" s="258"/>
      <c r="IL333" s="258"/>
      <c r="IM333" s="258"/>
      <c r="IN333" s="258"/>
      <c r="IO333" s="258"/>
      <c r="IP333" s="258"/>
      <c r="IQ333" s="258"/>
      <c r="IR333" s="258"/>
      <c r="IS333" s="258"/>
      <c r="IT333" s="258"/>
      <c r="IU333" s="258"/>
    </row>
    <row r="334" spans="1:24" s="220" customFormat="1" ht="15">
      <c r="A334" s="291" t="s">
        <v>709</v>
      </c>
      <c r="B334" s="290"/>
      <c r="C334" s="290"/>
      <c r="D334" s="273"/>
      <c r="E334" s="273"/>
      <c r="F334" s="218"/>
      <c r="G334" s="218"/>
      <c r="H334" s="218"/>
      <c r="I334" s="218"/>
      <c r="J334" s="218"/>
      <c r="K334" s="218"/>
      <c r="L334" s="218"/>
      <c r="M334" s="218"/>
      <c r="N334" s="218"/>
      <c r="O334" s="218"/>
      <c r="P334" s="218"/>
      <c r="Q334" s="218"/>
      <c r="R334" s="218"/>
      <c r="S334" s="218"/>
      <c r="T334" s="218"/>
      <c r="U334" s="218"/>
      <c r="V334" s="218"/>
      <c r="W334" s="219"/>
      <c r="X334" s="219"/>
    </row>
    <row r="335" spans="1:24" s="220" customFormat="1" ht="15">
      <c r="A335" s="269"/>
      <c r="B335" s="290"/>
      <c r="C335" s="290"/>
      <c r="D335" s="273"/>
      <c r="E335" s="273"/>
      <c r="F335" s="218"/>
      <c r="G335" s="218"/>
      <c r="H335" s="218"/>
      <c r="I335" s="218"/>
      <c r="J335" s="218"/>
      <c r="K335" s="218"/>
      <c r="L335" s="218"/>
      <c r="M335" s="218"/>
      <c r="N335" s="218"/>
      <c r="O335" s="218"/>
      <c r="P335" s="218"/>
      <c r="Q335" s="218"/>
      <c r="R335" s="218"/>
      <c r="S335" s="218"/>
      <c r="T335" s="218"/>
      <c r="U335" s="218"/>
      <c r="V335" s="218"/>
      <c r="W335" s="219"/>
      <c r="X335" s="219"/>
    </row>
    <row r="336" spans="1:24" s="220" customFormat="1" ht="25.5">
      <c r="A336" s="300" t="s">
        <v>710</v>
      </c>
      <c r="B336" s="290"/>
      <c r="C336" s="290"/>
      <c r="D336" s="273"/>
      <c r="E336" s="273"/>
      <c r="F336" s="218"/>
      <c r="G336" s="218"/>
      <c r="H336" s="218"/>
      <c r="I336" s="218"/>
      <c r="J336" s="218"/>
      <c r="K336" s="218"/>
      <c r="L336" s="218"/>
      <c r="M336" s="218"/>
      <c r="N336" s="218"/>
      <c r="O336" s="218"/>
      <c r="P336" s="218"/>
      <c r="Q336" s="218"/>
      <c r="R336" s="218"/>
      <c r="S336" s="218"/>
      <c r="T336" s="218"/>
      <c r="U336" s="218"/>
      <c r="V336" s="218"/>
      <c r="W336" s="219"/>
      <c r="X336" s="219"/>
    </row>
    <row r="337" spans="1:24" s="220" customFormat="1" ht="15">
      <c r="A337" s="269" t="s">
        <v>504</v>
      </c>
      <c r="B337" s="290"/>
      <c r="C337" s="290"/>
      <c r="D337" s="273"/>
      <c r="E337" s="273"/>
      <c r="F337" s="218"/>
      <c r="G337" s="218"/>
      <c r="H337" s="218"/>
      <c r="I337" s="218"/>
      <c r="J337" s="218"/>
      <c r="K337" s="218"/>
      <c r="L337" s="218"/>
      <c r="M337" s="218"/>
      <c r="N337" s="218"/>
      <c r="O337" s="218"/>
      <c r="P337" s="218"/>
      <c r="Q337" s="218"/>
      <c r="R337" s="218"/>
      <c r="S337" s="218"/>
      <c r="T337" s="218"/>
      <c r="U337" s="218"/>
      <c r="V337" s="218"/>
      <c r="W337" s="219"/>
      <c r="X337" s="219"/>
    </row>
    <row r="338" spans="1:24" s="220" customFormat="1" ht="12" customHeight="1">
      <c r="A338" s="269"/>
      <c r="B338" s="290"/>
      <c r="C338" s="290"/>
      <c r="D338" s="273"/>
      <c r="E338" s="273"/>
      <c r="F338" s="218"/>
      <c r="G338" s="218"/>
      <c r="H338" s="218"/>
      <c r="I338" s="218"/>
      <c r="J338" s="218"/>
      <c r="K338" s="218"/>
      <c r="L338" s="218"/>
      <c r="M338" s="218"/>
      <c r="N338" s="218"/>
      <c r="O338" s="218"/>
      <c r="P338" s="218"/>
      <c r="Q338" s="218"/>
      <c r="R338" s="218"/>
      <c r="S338" s="218"/>
      <c r="T338" s="218"/>
      <c r="U338" s="218"/>
      <c r="V338" s="218"/>
      <c r="W338" s="219"/>
      <c r="X338" s="219"/>
    </row>
    <row r="339" spans="1:24" s="220" customFormat="1" ht="28.5" customHeight="1">
      <c r="A339" s="317" t="s">
        <v>711</v>
      </c>
      <c r="B339" s="290"/>
      <c r="C339" s="290"/>
      <c r="D339" s="273"/>
      <c r="E339" s="273"/>
      <c r="F339" s="218"/>
      <c r="G339" s="218"/>
      <c r="H339" s="218"/>
      <c r="I339" s="218"/>
      <c r="J339" s="218"/>
      <c r="K339" s="218"/>
      <c r="L339" s="218"/>
      <c r="M339" s="218"/>
      <c r="N339" s="218"/>
      <c r="O339" s="218"/>
      <c r="P339" s="218"/>
      <c r="Q339" s="218"/>
      <c r="R339" s="218"/>
      <c r="S339" s="218"/>
      <c r="T339" s="218"/>
      <c r="U339" s="218"/>
      <c r="V339" s="218"/>
      <c r="W339" s="219"/>
      <c r="X339" s="219"/>
    </row>
    <row r="340" spans="1:24" s="220" customFormat="1" ht="15">
      <c r="A340" s="269"/>
      <c r="B340" s="290"/>
      <c r="C340" s="290"/>
      <c r="D340" s="273"/>
      <c r="E340" s="273"/>
      <c r="F340" s="218"/>
      <c r="G340" s="218"/>
      <c r="H340" s="218"/>
      <c r="I340" s="218"/>
      <c r="J340" s="218"/>
      <c r="K340" s="218"/>
      <c r="L340" s="218"/>
      <c r="M340" s="218"/>
      <c r="N340" s="218"/>
      <c r="O340" s="218"/>
      <c r="P340" s="218"/>
      <c r="Q340" s="218"/>
      <c r="R340" s="218"/>
      <c r="S340" s="218"/>
      <c r="T340" s="218"/>
      <c r="U340" s="218"/>
      <c r="V340" s="218"/>
      <c r="W340" s="219"/>
      <c r="X340" s="219"/>
    </row>
    <row r="341" spans="1:24" s="220" customFormat="1" ht="15">
      <c r="A341" s="289" t="s">
        <v>514</v>
      </c>
      <c r="B341" s="290"/>
      <c r="C341" s="290"/>
      <c r="D341" s="273"/>
      <c r="E341" s="273"/>
      <c r="F341" s="218"/>
      <c r="G341" s="218"/>
      <c r="H341" s="218"/>
      <c r="I341" s="218"/>
      <c r="J341" s="218"/>
      <c r="K341" s="218"/>
      <c r="L341" s="218"/>
      <c r="M341" s="218"/>
      <c r="N341" s="218"/>
      <c r="O341" s="218"/>
      <c r="P341" s="218"/>
      <c r="Q341" s="218"/>
      <c r="R341" s="218"/>
      <c r="S341" s="218"/>
      <c r="T341" s="218"/>
      <c r="U341" s="218"/>
      <c r="V341" s="218"/>
      <c r="W341" s="219"/>
      <c r="X341" s="219"/>
    </row>
    <row r="342" spans="1:24" s="220" customFormat="1" ht="15">
      <c r="A342" s="289"/>
      <c r="B342" s="290"/>
      <c r="C342" s="290"/>
      <c r="D342" s="273"/>
      <c r="E342" s="273"/>
      <c r="F342" s="218"/>
      <c r="G342" s="218"/>
      <c r="H342" s="218"/>
      <c r="I342" s="218"/>
      <c r="J342" s="218"/>
      <c r="K342" s="218"/>
      <c r="L342" s="218"/>
      <c r="M342" s="218"/>
      <c r="N342" s="218"/>
      <c r="O342" s="218"/>
      <c r="P342" s="218"/>
      <c r="Q342" s="218"/>
      <c r="R342" s="218"/>
      <c r="S342" s="218"/>
      <c r="T342" s="218"/>
      <c r="U342" s="218"/>
      <c r="V342" s="218"/>
      <c r="W342" s="219"/>
      <c r="X342" s="219"/>
    </row>
    <row r="343" spans="1:24" s="220" customFormat="1" ht="25.5">
      <c r="A343" s="302" t="s">
        <v>471</v>
      </c>
      <c r="B343" s="290"/>
      <c r="C343" s="290"/>
      <c r="D343" s="273"/>
      <c r="E343" s="273"/>
      <c r="F343" s="218"/>
      <c r="G343" s="218"/>
      <c r="H343" s="218"/>
      <c r="I343" s="218"/>
      <c r="J343" s="218"/>
      <c r="K343" s="218"/>
      <c r="L343" s="218"/>
      <c r="M343" s="218"/>
      <c r="N343" s="218"/>
      <c r="O343" s="218"/>
      <c r="P343" s="218"/>
      <c r="Q343" s="218"/>
      <c r="R343" s="218"/>
      <c r="S343" s="218"/>
      <c r="T343" s="218"/>
      <c r="U343" s="218"/>
      <c r="V343" s="218"/>
      <c r="W343" s="219"/>
      <c r="X343" s="219"/>
    </row>
    <row r="344" spans="1:24" s="220" customFormat="1" ht="15.75" customHeight="1">
      <c r="A344" s="289"/>
      <c r="B344" s="290"/>
      <c r="C344" s="290"/>
      <c r="D344" s="273"/>
      <c r="E344" s="273"/>
      <c r="F344" s="218"/>
      <c r="G344" s="218"/>
      <c r="H344" s="218"/>
      <c r="I344" s="218"/>
      <c r="J344" s="218"/>
      <c r="K344" s="218"/>
      <c r="L344" s="218"/>
      <c r="M344" s="218"/>
      <c r="N344" s="218"/>
      <c r="O344" s="218"/>
      <c r="P344" s="218"/>
      <c r="Q344" s="218"/>
      <c r="R344" s="218"/>
      <c r="S344" s="218"/>
      <c r="T344" s="218"/>
      <c r="U344" s="218"/>
      <c r="V344" s="218"/>
      <c r="W344" s="219"/>
      <c r="X344" s="219"/>
    </row>
    <row r="345" spans="1:24" s="220" customFormat="1" ht="16.5" customHeight="1">
      <c r="A345" s="269" t="s">
        <v>504</v>
      </c>
      <c r="B345" s="290"/>
      <c r="C345" s="290"/>
      <c r="D345" s="273"/>
      <c r="E345" s="273"/>
      <c r="F345" s="218"/>
      <c r="G345" s="218"/>
      <c r="H345" s="218"/>
      <c r="I345" s="218"/>
      <c r="J345" s="218"/>
      <c r="K345" s="218"/>
      <c r="L345" s="218"/>
      <c r="M345" s="218"/>
      <c r="N345" s="218"/>
      <c r="O345" s="218"/>
      <c r="P345" s="218"/>
      <c r="Q345" s="218"/>
      <c r="R345" s="218"/>
      <c r="S345" s="218"/>
      <c r="T345" s="218"/>
      <c r="U345" s="218"/>
      <c r="V345" s="218"/>
      <c r="W345" s="219"/>
      <c r="X345" s="219"/>
    </row>
    <row r="346" spans="1:24" s="220" customFormat="1" ht="18" customHeight="1">
      <c r="A346" s="289" t="s">
        <v>464</v>
      </c>
      <c r="B346" s="290"/>
      <c r="C346" s="290"/>
      <c r="D346" s="273"/>
      <c r="E346" s="273"/>
      <c r="F346" s="218"/>
      <c r="G346" s="218"/>
      <c r="H346" s="218"/>
      <c r="I346" s="218"/>
      <c r="J346" s="218"/>
      <c r="K346" s="218"/>
      <c r="L346" s="218"/>
      <c r="M346" s="218"/>
      <c r="N346" s="218"/>
      <c r="O346" s="218"/>
      <c r="P346" s="218"/>
      <c r="Q346" s="218"/>
      <c r="R346" s="218"/>
      <c r="S346" s="218"/>
      <c r="T346" s="218"/>
      <c r="U346" s="218"/>
      <c r="V346" s="218"/>
      <c r="W346" s="219"/>
      <c r="X346" s="219"/>
    </row>
    <row r="347" spans="1:24" s="255" customFormat="1" ht="15.75">
      <c r="A347" s="289" t="s">
        <v>466</v>
      </c>
      <c r="B347" s="321"/>
      <c r="C347" s="321"/>
      <c r="D347" s="320"/>
      <c r="E347" s="320"/>
      <c r="F347" s="253"/>
      <c r="G347" s="253"/>
      <c r="H347" s="253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253"/>
      <c r="T347" s="253"/>
      <c r="U347" s="253"/>
      <c r="V347" s="253"/>
      <c r="W347" s="254"/>
      <c r="X347" s="254"/>
    </row>
    <row r="348" spans="1:24" s="255" customFormat="1" ht="15.75">
      <c r="A348" s="289" t="s">
        <v>467</v>
      </c>
      <c r="B348" s="321"/>
      <c r="C348" s="321"/>
      <c r="D348" s="320"/>
      <c r="E348" s="320"/>
      <c r="F348" s="253"/>
      <c r="G348" s="253"/>
      <c r="H348" s="253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253"/>
      <c r="T348" s="253"/>
      <c r="U348" s="253"/>
      <c r="V348" s="253"/>
      <c r="W348" s="254"/>
      <c r="X348" s="254"/>
    </row>
    <row r="349" spans="1:24" s="255" customFormat="1" ht="15.75">
      <c r="A349" s="289" t="s">
        <v>468</v>
      </c>
      <c r="B349" s="321"/>
      <c r="C349" s="321"/>
      <c r="D349" s="320"/>
      <c r="E349" s="320"/>
      <c r="F349" s="253"/>
      <c r="G349" s="253"/>
      <c r="H349" s="253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253"/>
      <c r="T349" s="253"/>
      <c r="U349" s="253"/>
      <c r="V349" s="253"/>
      <c r="W349" s="254"/>
      <c r="X349" s="254"/>
    </row>
    <row r="350" spans="1:24" s="255" customFormat="1" ht="15.75">
      <c r="A350" s="289" t="s">
        <v>465</v>
      </c>
      <c r="B350" s="343"/>
      <c r="C350" s="343"/>
      <c r="D350" s="344"/>
      <c r="E350" s="344"/>
      <c r="F350" s="253"/>
      <c r="G350" s="253"/>
      <c r="H350" s="253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253"/>
      <c r="T350" s="253"/>
      <c r="U350" s="253"/>
      <c r="V350" s="253"/>
      <c r="W350" s="254"/>
      <c r="X350" s="254"/>
    </row>
    <row r="351" spans="1:24" s="255" customFormat="1" ht="15.75">
      <c r="A351" s="289" t="s">
        <v>542</v>
      </c>
      <c r="B351" s="343"/>
      <c r="C351" s="343"/>
      <c r="D351" s="344"/>
      <c r="E351" s="344"/>
      <c r="F351" s="253"/>
      <c r="G351" s="253"/>
      <c r="H351" s="253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253"/>
      <c r="T351" s="253"/>
      <c r="U351" s="253"/>
      <c r="V351" s="253"/>
      <c r="W351" s="254"/>
      <c r="X351" s="254"/>
    </row>
    <row r="352" spans="1:24" s="255" customFormat="1" ht="15.75">
      <c r="A352" s="289" t="s">
        <v>543</v>
      </c>
      <c r="B352" s="343"/>
      <c r="C352" s="343"/>
      <c r="D352" s="344"/>
      <c r="E352" s="344"/>
      <c r="F352" s="253"/>
      <c r="G352" s="253"/>
      <c r="H352" s="253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253"/>
      <c r="T352" s="253"/>
      <c r="U352" s="253"/>
      <c r="V352" s="253"/>
      <c r="W352" s="254"/>
      <c r="X352" s="254"/>
    </row>
    <row r="353" spans="1:24" s="255" customFormat="1" ht="15.75">
      <c r="A353" s="289" t="s">
        <v>544</v>
      </c>
      <c r="B353" s="343"/>
      <c r="C353" s="343"/>
      <c r="D353" s="344"/>
      <c r="E353" s="344"/>
      <c r="F353" s="253"/>
      <c r="G353" s="253"/>
      <c r="H353" s="253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253"/>
      <c r="T353" s="253"/>
      <c r="U353" s="253"/>
      <c r="V353" s="253"/>
      <c r="W353" s="254"/>
      <c r="X353" s="254"/>
    </row>
    <row r="354" spans="1:24" s="255" customFormat="1" ht="15.75">
      <c r="A354" s="289"/>
      <c r="B354" s="321"/>
      <c r="C354" s="321"/>
      <c r="D354" s="320"/>
      <c r="E354" s="320"/>
      <c r="F354" s="253"/>
      <c r="G354" s="253"/>
      <c r="H354" s="253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253"/>
      <c r="T354" s="253"/>
      <c r="U354" s="253"/>
      <c r="V354" s="253"/>
      <c r="W354" s="254"/>
      <c r="X354" s="254"/>
    </row>
    <row r="355" spans="1:24" s="255" customFormat="1" ht="25.5">
      <c r="A355" s="302" t="s">
        <v>516</v>
      </c>
      <c r="B355" s="321"/>
      <c r="C355" s="321"/>
      <c r="D355" s="320"/>
      <c r="E355" s="320"/>
      <c r="F355" s="253"/>
      <c r="G355" s="253"/>
      <c r="H355" s="253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253"/>
      <c r="T355" s="253"/>
      <c r="U355" s="253"/>
      <c r="V355" s="253"/>
      <c r="W355" s="254"/>
      <c r="X355" s="254"/>
    </row>
    <row r="356" spans="1:24" s="220" customFormat="1" ht="15">
      <c r="A356" s="345"/>
      <c r="B356" s="341"/>
      <c r="C356" s="341"/>
      <c r="D356" s="342"/>
      <c r="E356" s="342"/>
      <c r="F356" s="218"/>
      <c r="G356" s="218"/>
      <c r="H356" s="218"/>
      <c r="I356" s="218"/>
      <c r="J356" s="218"/>
      <c r="K356" s="218"/>
      <c r="L356" s="218"/>
      <c r="M356" s="218"/>
      <c r="N356" s="218"/>
      <c r="O356" s="218"/>
      <c r="P356" s="218"/>
      <c r="Q356" s="218"/>
      <c r="R356" s="218"/>
      <c r="S356" s="218"/>
      <c r="T356" s="218"/>
      <c r="U356" s="218"/>
      <c r="V356" s="218"/>
      <c r="W356" s="219"/>
      <c r="X356" s="219"/>
    </row>
    <row r="357" spans="1:24" s="220" customFormat="1" ht="15">
      <c r="A357" s="346"/>
      <c r="B357" s="347"/>
      <c r="C357" s="347"/>
      <c r="D357" s="347"/>
      <c r="E357" s="347"/>
      <c r="F357" s="218"/>
      <c r="G357" s="218"/>
      <c r="H357" s="218"/>
      <c r="I357" s="218"/>
      <c r="J357" s="218"/>
      <c r="K357" s="218"/>
      <c r="L357" s="218"/>
      <c r="M357" s="218"/>
      <c r="N357" s="218"/>
      <c r="O357" s="218"/>
      <c r="P357" s="218"/>
      <c r="Q357" s="218"/>
      <c r="R357" s="218"/>
      <c r="S357" s="218"/>
      <c r="T357" s="218"/>
      <c r="U357" s="218"/>
      <c r="V357" s="218"/>
      <c r="W357" s="219"/>
      <c r="X357" s="219"/>
    </row>
    <row r="358" spans="1:24" s="220" customFormat="1" ht="30" customHeight="1">
      <c r="A358" s="364" t="s">
        <v>805</v>
      </c>
      <c r="B358" s="364"/>
      <c r="C358" s="364"/>
      <c r="D358" s="364"/>
      <c r="E358" s="364"/>
      <c r="F358" s="218"/>
      <c r="G358" s="218"/>
      <c r="H358" s="218"/>
      <c r="I358" s="218"/>
      <c r="J358" s="218"/>
      <c r="K358" s="218"/>
      <c r="L358" s="218"/>
      <c r="M358" s="218"/>
      <c r="N358" s="218"/>
      <c r="O358" s="218"/>
      <c r="P358" s="218"/>
      <c r="Q358" s="218"/>
      <c r="R358" s="218"/>
      <c r="S358" s="218"/>
      <c r="T358" s="218"/>
      <c r="U358" s="218"/>
      <c r="V358" s="218"/>
      <c r="W358" s="219"/>
      <c r="X358" s="219"/>
    </row>
    <row r="359" spans="1:24" s="220" customFormat="1" ht="15">
      <c r="A359" s="346" t="s">
        <v>70</v>
      </c>
      <c r="B359" s="347"/>
      <c r="C359" s="347"/>
      <c r="D359" s="347"/>
      <c r="E359" s="347"/>
      <c r="F359" s="218"/>
      <c r="G359" s="218"/>
      <c r="H359" s="218"/>
      <c r="I359" s="218"/>
      <c r="J359" s="218"/>
      <c r="K359" s="218"/>
      <c r="L359" s="218"/>
      <c r="M359" s="218"/>
      <c r="N359" s="218"/>
      <c r="O359" s="218"/>
      <c r="P359" s="218"/>
      <c r="Q359" s="218"/>
      <c r="R359" s="218"/>
      <c r="S359" s="218"/>
      <c r="T359" s="218"/>
      <c r="U359" s="218"/>
      <c r="V359" s="218"/>
      <c r="W359" s="219"/>
      <c r="X359" s="219"/>
    </row>
    <row r="360" spans="1:24" s="220" customFormat="1" ht="15">
      <c r="A360" s="348"/>
      <c r="B360" s="349"/>
      <c r="C360" s="349"/>
      <c r="D360" s="349"/>
      <c r="E360" s="349"/>
      <c r="F360" s="218"/>
      <c r="G360" s="218"/>
      <c r="H360" s="218"/>
      <c r="I360" s="218"/>
      <c r="J360" s="218"/>
      <c r="K360" s="218"/>
      <c r="L360" s="218"/>
      <c r="M360" s="218"/>
      <c r="N360" s="218"/>
      <c r="O360" s="218"/>
      <c r="P360" s="218"/>
      <c r="Q360" s="218"/>
      <c r="R360" s="218"/>
      <c r="S360" s="218"/>
      <c r="T360" s="218"/>
      <c r="U360" s="218"/>
      <c r="V360" s="218"/>
      <c r="W360" s="219"/>
      <c r="X360" s="219"/>
    </row>
    <row r="361" spans="1:24" s="220" customFormat="1" ht="15.75" customHeight="1">
      <c r="A361" s="350"/>
      <c r="B361" s="351"/>
      <c r="C361" s="351"/>
      <c r="D361" s="351"/>
      <c r="E361" s="351"/>
      <c r="F361" s="218"/>
      <c r="G361" s="218"/>
      <c r="H361" s="218"/>
      <c r="I361" s="218"/>
      <c r="J361" s="218"/>
      <c r="K361" s="218"/>
      <c r="L361" s="218"/>
      <c r="M361" s="218"/>
      <c r="N361" s="218"/>
      <c r="O361" s="218"/>
      <c r="P361" s="218"/>
      <c r="Q361" s="218"/>
      <c r="R361" s="218"/>
      <c r="S361" s="218"/>
      <c r="T361" s="218"/>
      <c r="U361" s="218"/>
      <c r="V361" s="218"/>
      <c r="W361" s="219"/>
      <c r="X361" s="219"/>
    </row>
    <row r="362" spans="1:24" s="220" customFormat="1" ht="15">
      <c r="A362" s="348"/>
      <c r="B362" s="349"/>
      <c r="C362" s="349"/>
      <c r="D362" s="349"/>
      <c r="E362" s="349"/>
      <c r="F362" s="218"/>
      <c r="G362" s="218"/>
      <c r="H362" s="218"/>
      <c r="I362" s="218"/>
      <c r="J362" s="218"/>
      <c r="K362" s="218"/>
      <c r="L362" s="218"/>
      <c r="M362" s="218"/>
      <c r="N362" s="218"/>
      <c r="O362" s="218"/>
      <c r="P362" s="218"/>
      <c r="Q362" s="218"/>
      <c r="R362" s="218"/>
      <c r="S362" s="218"/>
      <c r="T362" s="218"/>
      <c r="U362" s="218"/>
      <c r="V362" s="218"/>
      <c r="W362" s="219"/>
      <c r="X362" s="219"/>
    </row>
    <row r="363" spans="1:24" s="220" customFormat="1" ht="15">
      <c r="A363" s="348"/>
      <c r="B363" s="349"/>
      <c r="C363" s="349"/>
      <c r="D363" s="349"/>
      <c r="E363" s="349"/>
      <c r="F363" s="218"/>
      <c r="G363" s="218"/>
      <c r="H363" s="218"/>
      <c r="I363" s="218"/>
      <c r="J363" s="218"/>
      <c r="K363" s="218"/>
      <c r="L363" s="218"/>
      <c r="M363" s="218"/>
      <c r="N363" s="218"/>
      <c r="O363" s="218"/>
      <c r="P363" s="218"/>
      <c r="Q363" s="218"/>
      <c r="R363" s="218"/>
      <c r="S363" s="218"/>
      <c r="T363" s="218"/>
      <c r="U363" s="218"/>
      <c r="V363" s="218"/>
      <c r="W363" s="219"/>
      <c r="X363" s="219"/>
    </row>
    <row r="364" spans="1:24" s="220" customFormat="1" ht="15">
      <c r="A364" s="348"/>
      <c r="B364" s="349"/>
      <c r="C364" s="349"/>
      <c r="D364" s="349"/>
      <c r="E364" s="349"/>
      <c r="F364" s="218"/>
      <c r="G364" s="218"/>
      <c r="H364" s="218"/>
      <c r="I364" s="218"/>
      <c r="J364" s="218"/>
      <c r="K364" s="218"/>
      <c r="L364" s="218"/>
      <c r="M364" s="218"/>
      <c r="N364" s="218"/>
      <c r="O364" s="218"/>
      <c r="P364" s="218"/>
      <c r="Q364" s="218"/>
      <c r="R364" s="218"/>
      <c r="S364" s="218"/>
      <c r="T364" s="218"/>
      <c r="U364" s="218"/>
      <c r="V364" s="218"/>
      <c r="W364" s="219"/>
      <c r="X364" s="219"/>
    </row>
    <row r="365" spans="1:24" s="220" customFormat="1" ht="15">
      <c r="A365" s="348"/>
      <c r="B365" s="349"/>
      <c r="C365" s="349"/>
      <c r="D365" s="349"/>
      <c r="E365" s="349"/>
      <c r="F365" s="218"/>
      <c r="G365" s="218"/>
      <c r="H365" s="218"/>
      <c r="I365" s="218"/>
      <c r="J365" s="218"/>
      <c r="K365" s="218"/>
      <c r="L365" s="218"/>
      <c r="M365" s="218"/>
      <c r="N365" s="218"/>
      <c r="O365" s="218"/>
      <c r="P365" s="218"/>
      <c r="Q365" s="218"/>
      <c r="R365" s="218"/>
      <c r="S365" s="218"/>
      <c r="T365" s="218"/>
      <c r="U365" s="218"/>
      <c r="V365" s="218"/>
      <c r="W365" s="219"/>
      <c r="X365" s="219"/>
    </row>
    <row r="366" spans="1:24" s="220" customFormat="1" ht="15">
      <c r="A366" s="348"/>
      <c r="B366" s="349"/>
      <c r="C366" s="349"/>
      <c r="D366" s="349"/>
      <c r="E366" s="349"/>
      <c r="F366" s="218"/>
      <c r="G366" s="218"/>
      <c r="H366" s="218"/>
      <c r="I366" s="218"/>
      <c r="J366" s="218"/>
      <c r="K366" s="218"/>
      <c r="L366" s="218"/>
      <c r="M366" s="218"/>
      <c r="N366" s="218"/>
      <c r="O366" s="218"/>
      <c r="P366" s="218"/>
      <c r="Q366" s="218"/>
      <c r="R366" s="218"/>
      <c r="S366" s="218"/>
      <c r="T366" s="218"/>
      <c r="U366" s="218"/>
      <c r="V366" s="218"/>
      <c r="W366" s="219"/>
      <c r="X366" s="219"/>
    </row>
    <row r="367" spans="1:24" s="220" customFormat="1" ht="15">
      <c r="A367" s="348"/>
      <c r="B367" s="349"/>
      <c r="C367" s="349"/>
      <c r="D367" s="349"/>
      <c r="E367" s="349"/>
      <c r="F367" s="218"/>
      <c r="G367" s="218"/>
      <c r="H367" s="218"/>
      <c r="I367" s="218"/>
      <c r="J367" s="218"/>
      <c r="K367" s="218"/>
      <c r="L367" s="218"/>
      <c r="M367" s="218"/>
      <c r="N367" s="218"/>
      <c r="O367" s="218"/>
      <c r="P367" s="218"/>
      <c r="Q367" s="218"/>
      <c r="R367" s="218"/>
      <c r="S367" s="218"/>
      <c r="T367" s="218"/>
      <c r="U367" s="218"/>
      <c r="V367" s="218"/>
      <c r="W367" s="219"/>
      <c r="X367" s="219"/>
    </row>
    <row r="368" spans="1:24" s="220" customFormat="1" ht="15">
      <c r="A368" s="348"/>
      <c r="B368" s="349"/>
      <c r="C368" s="349"/>
      <c r="D368" s="349"/>
      <c r="E368" s="349"/>
      <c r="F368" s="218"/>
      <c r="G368" s="218"/>
      <c r="H368" s="218"/>
      <c r="I368" s="218"/>
      <c r="J368" s="218"/>
      <c r="K368" s="218"/>
      <c r="L368" s="218"/>
      <c r="M368" s="218"/>
      <c r="N368" s="218"/>
      <c r="O368" s="218"/>
      <c r="P368" s="218"/>
      <c r="Q368" s="218"/>
      <c r="R368" s="218"/>
      <c r="S368" s="218"/>
      <c r="T368" s="218"/>
      <c r="U368" s="218"/>
      <c r="V368" s="218"/>
      <c r="W368" s="219"/>
      <c r="X368" s="219"/>
    </row>
    <row r="369" spans="1:24" s="220" customFormat="1" ht="15">
      <c r="A369" s="352"/>
      <c r="B369" s="349"/>
      <c r="C369" s="349"/>
      <c r="D369" s="349"/>
      <c r="E369" s="349"/>
      <c r="F369" s="218"/>
      <c r="G369" s="218"/>
      <c r="H369" s="218"/>
      <c r="I369" s="218"/>
      <c r="J369" s="218"/>
      <c r="K369" s="218"/>
      <c r="L369" s="218"/>
      <c r="M369" s="218"/>
      <c r="N369" s="218"/>
      <c r="O369" s="218"/>
      <c r="P369" s="218"/>
      <c r="Q369" s="218"/>
      <c r="R369" s="218"/>
      <c r="S369" s="218"/>
      <c r="T369" s="218"/>
      <c r="U369" s="218"/>
      <c r="V369" s="218"/>
      <c r="W369" s="219"/>
      <c r="X369" s="219"/>
    </row>
    <row r="370" spans="1:24" s="220" customFormat="1" ht="15">
      <c r="A370" s="352"/>
      <c r="B370" s="349"/>
      <c r="C370" s="349"/>
      <c r="D370" s="349"/>
      <c r="E370" s="349"/>
      <c r="F370" s="218"/>
      <c r="G370" s="218"/>
      <c r="H370" s="218"/>
      <c r="I370" s="218"/>
      <c r="J370" s="218"/>
      <c r="K370" s="218"/>
      <c r="L370" s="218"/>
      <c r="M370" s="218"/>
      <c r="N370" s="218"/>
      <c r="O370" s="218"/>
      <c r="P370" s="218"/>
      <c r="Q370" s="218"/>
      <c r="R370" s="218"/>
      <c r="S370" s="218"/>
      <c r="T370" s="218"/>
      <c r="U370" s="218"/>
      <c r="V370" s="218"/>
      <c r="W370" s="219"/>
      <c r="X370" s="219"/>
    </row>
    <row r="371" spans="1:24" s="220" customFormat="1" ht="15">
      <c r="A371" s="352"/>
      <c r="B371" s="349"/>
      <c r="C371" s="349"/>
      <c r="D371" s="349"/>
      <c r="E371" s="349"/>
      <c r="F371" s="218"/>
      <c r="G371" s="218"/>
      <c r="H371" s="218"/>
      <c r="I371" s="218"/>
      <c r="J371" s="218"/>
      <c r="K371" s="218"/>
      <c r="L371" s="218"/>
      <c r="M371" s="218"/>
      <c r="N371" s="218"/>
      <c r="O371" s="218"/>
      <c r="P371" s="218"/>
      <c r="Q371" s="218"/>
      <c r="R371" s="218"/>
      <c r="S371" s="218"/>
      <c r="T371" s="218"/>
      <c r="U371" s="218"/>
      <c r="V371" s="218"/>
      <c r="W371" s="219"/>
      <c r="X371" s="219"/>
    </row>
    <row r="372" spans="1:24" s="220" customFormat="1" ht="15">
      <c r="A372" s="352"/>
      <c r="B372" s="349"/>
      <c r="C372" s="349"/>
      <c r="D372" s="349"/>
      <c r="E372" s="349"/>
      <c r="F372" s="218"/>
      <c r="G372" s="218"/>
      <c r="H372" s="218"/>
      <c r="I372" s="218"/>
      <c r="J372" s="218"/>
      <c r="K372" s="218"/>
      <c r="L372" s="218"/>
      <c r="M372" s="218"/>
      <c r="N372" s="218"/>
      <c r="O372" s="218"/>
      <c r="P372" s="218"/>
      <c r="Q372" s="218"/>
      <c r="R372" s="218"/>
      <c r="S372" s="218"/>
      <c r="T372" s="218"/>
      <c r="U372" s="218"/>
      <c r="V372" s="218"/>
      <c r="W372" s="219"/>
      <c r="X372" s="219"/>
    </row>
    <row r="373" spans="1:24" s="220" customFormat="1" ht="15">
      <c r="A373" s="352"/>
      <c r="B373" s="349"/>
      <c r="C373" s="349"/>
      <c r="D373" s="349"/>
      <c r="E373" s="349"/>
      <c r="F373" s="218"/>
      <c r="G373" s="218"/>
      <c r="H373" s="218"/>
      <c r="I373" s="218"/>
      <c r="J373" s="218"/>
      <c r="K373" s="218"/>
      <c r="L373" s="218"/>
      <c r="M373" s="218"/>
      <c r="N373" s="218"/>
      <c r="O373" s="218"/>
      <c r="P373" s="218"/>
      <c r="Q373" s="218"/>
      <c r="R373" s="218"/>
      <c r="S373" s="218"/>
      <c r="T373" s="218"/>
      <c r="U373" s="218"/>
      <c r="V373" s="218"/>
      <c r="W373" s="219"/>
      <c r="X373" s="219"/>
    </row>
    <row r="374" spans="1:24" s="220" customFormat="1" ht="15">
      <c r="A374" s="352"/>
      <c r="B374" s="349"/>
      <c r="C374" s="349"/>
      <c r="D374" s="349"/>
      <c r="E374" s="349"/>
      <c r="F374" s="218"/>
      <c r="G374" s="218"/>
      <c r="H374" s="218"/>
      <c r="I374" s="218"/>
      <c r="J374" s="218"/>
      <c r="K374" s="218"/>
      <c r="L374" s="218"/>
      <c r="M374" s="218"/>
      <c r="N374" s="218"/>
      <c r="O374" s="218"/>
      <c r="P374" s="218"/>
      <c r="Q374" s="218"/>
      <c r="R374" s="218"/>
      <c r="S374" s="218"/>
      <c r="T374" s="218"/>
      <c r="U374" s="218"/>
      <c r="V374" s="218"/>
      <c r="W374" s="219"/>
      <c r="X374" s="219"/>
    </row>
    <row r="375" spans="1:24" s="220" customFormat="1" ht="15">
      <c r="A375" s="353"/>
      <c r="B375" s="349"/>
      <c r="C375" s="349"/>
      <c r="D375" s="349"/>
      <c r="E375" s="349"/>
      <c r="F375" s="218"/>
      <c r="G375" s="218"/>
      <c r="H375" s="218"/>
      <c r="I375" s="218"/>
      <c r="J375" s="218"/>
      <c r="K375" s="218"/>
      <c r="L375" s="218"/>
      <c r="M375" s="218"/>
      <c r="N375" s="218"/>
      <c r="O375" s="218"/>
      <c r="P375" s="218"/>
      <c r="Q375" s="218"/>
      <c r="R375" s="218"/>
      <c r="S375" s="218"/>
      <c r="T375" s="218"/>
      <c r="U375" s="218"/>
      <c r="V375" s="218"/>
      <c r="W375" s="219"/>
      <c r="X375" s="219"/>
    </row>
    <row r="376" spans="1:24" s="220" customFormat="1" ht="15">
      <c r="A376" s="264"/>
      <c r="B376" s="265"/>
      <c r="C376" s="265"/>
      <c r="D376" s="265"/>
      <c r="E376" s="265"/>
      <c r="F376" s="218"/>
      <c r="G376" s="218"/>
      <c r="H376" s="218"/>
      <c r="I376" s="218"/>
      <c r="J376" s="218"/>
      <c r="K376" s="218"/>
      <c r="L376" s="218"/>
      <c r="M376" s="218"/>
      <c r="N376" s="218"/>
      <c r="O376" s="218"/>
      <c r="P376" s="218"/>
      <c r="Q376" s="218"/>
      <c r="R376" s="218"/>
      <c r="S376" s="218"/>
      <c r="T376" s="218"/>
      <c r="U376" s="218"/>
      <c r="V376" s="218"/>
      <c r="W376" s="219"/>
      <c r="X376" s="219"/>
    </row>
    <row r="377" spans="1:24" s="220" customFormat="1" ht="15">
      <c r="A377" s="264"/>
      <c r="B377" s="265"/>
      <c r="C377" s="265"/>
      <c r="D377" s="265"/>
      <c r="E377" s="265"/>
      <c r="F377" s="218"/>
      <c r="G377" s="218"/>
      <c r="H377" s="218"/>
      <c r="I377" s="218"/>
      <c r="J377" s="218"/>
      <c r="K377" s="218"/>
      <c r="L377" s="218"/>
      <c r="M377" s="218"/>
      <c r="N377" s="218"/>
      <c r="O377" s="218"/>
      <c r="P377" s="218"/>
      <c r="Q377" s="218"/>
      <c r="R377" s="218"/>
      <c r="S377" s="218"/>
      <c r="T377" s="218"/>
      <c r="U377" s="218"/>
      <c r="V377" s="218"/>
      <c r="W377" s="219"/>
      <c r="X377" s="219"/>
    </row>
    <row r="378" spans="1:24" s="220" customFormat="1" ht="15">
      <c r="A378" s="264"/>
      <c r="B378" s="265"/>
      <c r="C378" s="265"/>
      <c r="D378" s="265"/>
      <c r="E378" s="265"/>
      <c r="F378" s="218"/>
      <c r="G378" s="218"/>
      <c r="H378" s="218"/>
      <c r="I378" s="218"/>
      <c r="J378" s="218"/>
      <c r="K378" s="218"/>
      <c r="L378" s="218"/>
      <c r="M378" s="218"/>
      <c r="N378" s="218"/>
      <c r="O378" s="218"/>
      <c r="P378" s="218"/>
      <c r="Q378" s="218"/>
      <c r="R378" s="218"/>
      <c r="S378" s="218"/>
      <c r="T378" s="218"/>
      <c r="U378" s="218"/>
      <c r="V378" s="218"/>
      <c r="W378" s="219"/>
      <c r="X378" s="219"/>
    </row>
    <row r="379" spans="1:24" s="220" customFormat="1" ht="15">
      <c r="A379" s="264"/>
      <c r="B379" s="265"/>
      <c r="C379" s="265"/>
      <c r="D379" s="265"/>
      <c r="E379" s="265"/>
      <c r="F379" s="218"/>
      <c r="G379" s="218"/>
      <c r="H379" s="218"/>
      <c r="I379" s="218"/>
      <c r="J379" s="218"/>
      <c r="K379" s="218"/>
      <c r="L379" s="218"/>
      <c r="M379" s="218"/>
      <c r="N379" s="218"/>
      <c r="O379" s="218"/>
      <c r="P379" s="218"/>
      <c r="Q379" s="218"/>
      <c r="R379" s="218"/>
      <c r="S379" s="218"/>
      <c r="T379" s="218"/>
      <c r="U379" s="218"/>
      <c r="V379" s="218"/>
      <c r="W379" s="219"/>
      <c r="X379" s="219"/>
    </row>
    <row r="380" spans="1:24" s="220" customFormat="1" ht="15">
      <c r="A380" s="264"/>
      <c r="B380" s="265"/>
      <c r="C380" s="265"/>
      <c r="D380" s="265"/>
      <c r="E380" s="265"/>
      <c r="F380" s="218"/>
      <c r="G380" s="218"/>
      <c r="H380" s="218"/>
      <c r="I380" s="218"/>
      <c r="J380" s="218"/>
      <c r="K380" s="218"/>
      <c r="L380" s="218"/>
      <c r="M380" s="218"/>
      <c r="N380" s="218"/>
      <c r="O380" s="218"/>
      <c r="P380" s="218"/>
      <c r="Q380" s="218"/>
      <c r="R380" s="218"/>
      <c r="S380" s="218"/>
      <c r="T380" s="218"/>
      <c r="U380" s="218"/>
      <c r="V380" s="218"/>
      <c r="W380" s="219"/>
      <c r="X380" s="219"/>
    </row>
    <row r="381" spans="1:24" s="220" customFormat="1" ht="15">
      <c r="A381" s="264"/>
      <c r="B381" s="265"/>
      <c r="C381" s="265"/>
      <c r="D381" s="265"/>
      <c r="E381" s="265"/>
      <c r="F381" s="218"/>
      <c r="G381" s="218"/>
      <c r="H381" s="218"/>
      <c r="I381" s="218"/>
      <c r="J381" s="218"/>
      <c r="K381" s="218"/>
      <c r="L381" s="218"/>
      <c r="M381" s="218"/>
      <c r="N381" s="218"/>
      <c r="O381" s="218"/>
      <c r="P381" s="218"/>
      <c r="Q381" s="218"/>
      <c r="R381" s="218"/>
      <c r="S381" s="218"/>
      <c r="T381" s="218"/>
      <c r="U381" s="218"/>
      <c r="V381" s="218"/>
      <c r="W381" s="219"/>
      <c r="X381" s="219"/>
    </row>
    <row r="382" spans="1:24" s="220" customFormat="1" ht="15">
      <c r="A382" s="264"/>
      <c r="B382" s="265"/>
      <c r="C382" s="265"/>
      <c r="D382" s="265"/>
      <c r="E382" s="265"/>
      <c r="F382" s="218"/>
      <c r="G382" s="218"/>
      <c r="H382" s="218"/>
      <c r="I382" s="218"/>
      <c r="J382" s="218"/>
      <c r="K382" s="218"/>
      <c r="L382" s="218"/>
      <c r="M382" s="218"/>
      <c r="N382" s="218"/>
      <c r="O382" s="218"/>
      <c r="P382" s="218"/>
      <c r="Q382" s="218"/>
      <c r="R382" s="218"/>
      <c r="S382" s="218"/>
      <c r="T382" s="218"/>
      <c r="U382" s="218"/>
      <c r="V382" s="218"/>
      <c r="W382" s="219"/>
      <c r="X382" s="219"/>
    </row>
    <row r="383" spans="1:24" s="220" customFormat="1" ht="15">
      <c r="A383" s="264"/>
      <c r="B383" s="265"/>
      <c r="C383" s="265"/>
      <c r="D383" s="265"/>
      <c r="E383" s="265"/>
      <c r="F383" s="218"/>
      <c r="G383" s="218"/>
      <c r="H383" s="218"/>
      <c r="I383" s="218"/>
      <c r="J383" s="218"/>
      <c r="K383" s="218"/>
      <c r="L383" s="218"/>
      <c r="M383" s="218"/>
      <c r="N383" s="218"/>
      <c r="O383" s="218"/>
      <c r="P383" s="218"/>
      <c r="Q383" s="218"/>
      <c r="R383" s="218"/>
      <c r="S383" s="218"/>
      <c r="T383" s="218"/>
      <c r="U383" s="218"/>
      <c r="V383" s="218"/>
      <c r="W383" s="219"/>
      <c r="X383" s="219"/>
    </row>
    <row r="384" spans="1:24" s="220" customFormat="1" ht="15">
      <c r="A384" s="264"/>
      <c r="B384" s="265"/>
      <c r="C384" s="265"/>
      <c r="D384" s="265"/>
      <c r="E384" s="265"/>
      <c r="F384" s="218"/>
      <c r="G384" s="218"/>
      <c r="H384" s="218"/>
      <c r="I384" s="218"/>
      <c r="J384" s="218"/>
      <c r="K384" s="218"/>
      <c r="L384" s="218"/>
      <c r="M384" s="218"/>
      <c r="N384" s="218"/>
      <c r="O384" s="218"/>
      <c r="P384" s="218"/>
      <c r="Q384" s="218"/>
      <c r="R384" s="218"/>
      <c r="S384" s="218"/>
      <c r="T384" s="218"/>
      <c r="U384" s="218"/>
      <c r="V384" s="218"/>
      <c r="W384" s="219"/>
      <c r="X384" s="219"/>
    </row>
    <row r="385" spans="1:24" s="220" customFormat="1" ht="15">
      <c r="A385" s="264"/>
      <c r="B385" s="265"/>
      <c r="C385" s="265"/>
      <c r="D385" s="265"/>
      <c r="E385" s="265"/>
      <c r="F385" s="218"/>
      <c r="G385" s="218"/>
      <c r="H385" s="218"/>
      <c r="I385" s="218"/>
      <c r="J385" s="218"/>
      <c r="K385" s="218"/>
      <c r="L385" s="218"/>
      <c r="M385" s="218"/>
      <c r="N385" s="218"/>
      <c r="O385" s="218"/>
      <c r="P385" s="218"/>
      <c r="Q385" s="218"/>
      <c r="R385" s="218"/>
      <c r="S385" s="218"/>
      <c r="T385" s="218"/>
      <c r="U385" s="218"/>
      <c r="V385" s="218"/>
      <c r="W385" s="219"/>
      <c r="X385" s="219"/>
    </row>
    <row r="386" spans="1:24" s="220" customFormat="1" ht="15">
      <c r="A386" s="264"/>
      <c r="B386" s="265"/>
      <c r="C386" s="265"/>
      <c r="D386" s="265"/>
      <c r="E386" s="265"/>
      <c r="F386" s="218"/>
      <c r="G386" s="218"/>
      <c r="H386" s="218"/>
      <c r="I386" s="218"/>
      <c r="J386" s="218"/>
      <c r="K386" s="218"/>
      <c r="L386" s="218"/>
      <c r="M386" s="218"/>
      <c r="N386" s="218"/>
      <c r="O386" s="218"/>
      <c r="P386" s="218"/>
      <c r="Q386" s="218"/>
      <c r="R386" s="218"/>
      <c r="S386" s="218"/>
      <c r="T386" s="218"/>
      <c r="U386" s="218"/>
      <c r="V386" s="218"/>
      <c r="W386" s="219"/>
      <c r="X386" s="219"/>
    </row>
    <row r="387" spans="1:24" s="220" customFormat="1" ht="15">
      <c r="A387" s="264"/>
      <c r="B387" s="265"/>
      <c r="C387" s="265"/>
      <c r="D387" s="265"/>
      <c r="E387" s="265"/>
      <c r="F387" s="218"/>
      <c r="G387" s="218"/>
      <c r="H387" s="218"/>
      <c r="I387" s="218"/>
      <c r="J387" s="218"/>
      <c r="K387" s="218"/>
      <c r="L387" s="218"/>
      <c r="M387" s="218"/>
      <c r="N387" s="218"/>
      <c r="O387" s="218"/>
      <c r="P387" s="218"/>
      <c r="Q387" s="218"/>
      <c r="R387" s="218"/>
      <c r="S387" s="218"/>
      <c r="T387" s="218"/>
      <c r="U387" s="218"/>
      <c r="V387" s="218"/>
      <c r="W387" s="219"/>
      <c r="X387" s="219"/>
    </row>
    <row r="388" spans="1:24" s="220" customFormat="1" ht="15">
      <c r="A388" s="264"/>
      <c r="B388" s="265"/>
      <c r="C388" s="265"/>
      <c r="D388" s="265"/>
      <c r="E388" s="265"/>
      <c r="F388" s="218"/>
      <c r="G388" s="218"/>
      <c r="H388" s="218"/>
      <c r="I388" s="218"/>
      <c r="J388" s="218"/>
      <c r="K388" s="218"/>
      <c r="L388" s="218"/>
      <c r="M388" s="218"/>
      <c r="N388" s="218"/>
      <c r="O388" s="218"/>
      <c r="P388" s="218"/>
      <c r="Q388" s="218"/>
      <c r="R388" s="218"/>
      <c r="S388" s="218"/>
      <c r="T388" s="218"/>
      <c r="U388" s="218"/>
      <c r="V388" s="218"/>
      <c r="W388" s="219"/>
      <c r="X388" s="219"/>
    </row>
    <row r="389" spans="1:24" s="220" customFormat="1" ht="15">
      <c r="A389" s="264"/>
      <c r="B389" s="265"/>
      <c r="C389" s="265"/>
      <c r="D389" s="265"/>
      <c r="E389" s="265"/>
      <c r="F389" s="218"/>
      <c r="G389" s="218"/>
      <c r="H389" s="218"/>
      <c r="I389" s="218"/>
      <c r="J389" s="218"/>
      <c r="K389" s="218"/>
      <c r="L389" s="218"/>
      <c r="M389" s="218"/>
      <c r="N389" s="218"/>
      <c r="O389" s="218"/>
      <c r="P389" s="218"/>
      <c r="Q389" s="218"/>
      <c r="R389" s="218"/>
      <c r="S389" s="218"/>
      <c r="T389" s="218"/>
      <c r="U389" s="218"/>
      <c r="V389" s="218"/>
      <c r="W389" s="219"/>
      <c r="X389" s="219"/>
    </row>
    <row r="390" spans="1:24" s="220" customFormat="1" ht="15">
      <c r="A390" s="264"/>
      <c r="B390" s="265"/>
      <c r="C390" s="265"/>
      <c r="D390" s="265"/>
      <c r="E390" s="265"/>
      <c r="F390" s="218"/>
      <c r="G390" s="218"/>
      <c r="H390" s="218"/>
      <c r="I390" s="218"/>
      <c r="J390" s="218"/>
      <c r="K390" s="218"/>
      <c r="L390" s="218"/>
      <c r="M390" s="218"/>
      <c r="N390" s="218"/>
      <c r="O390" s="218"/>
      <c r="P390" s="218"/>
      <c r="Q390" s="218"/>
      <c r="R390" s="218"/>
      <c r="S390" s="218"/>
      <c r="T390" s="218"/>
      <c r="U390" s="218"/>
      <c r="V390" s="218"/>
      <c r="W390" s="219"/>
      <c r="X390" s="219"/>
    </row>
    <row r="391" spans="1:24" s="220" customFormat="1" ht="15">
      <c r="A391" s="264"/>
      <c r="B391" s="265"/>
      <c r="C391" s="265"/>
      <c r="D391" s="265"/>
      <c r="E391" s="265"/>
      <c r="F391" s="218"/>
      <c r="G391" s="218"/>
      <c r="H391" s="218"/>
      <c r="I391" s="218"/>
      <c r="J391" s="218"/>
      <c r="K391" s="218"/>
      <c r="L391" s="218"/>
      <c r="M391" s="218"/>
      <c r="N391" s="218"/>
      <c r="O391" s="218"/>
      <c r="P391" s="218"/>
      <c r="Q391" s="218"/>
      <c r="R391" s="218"/>
      <c r="S391" s="218"/>
      <c r="T391" s="218"/>
      <c r="U391" s="218"/>
      <c r="V391" s="218"/>
      <c r="W391" s="219"/>
      <c r="X391" s="219"/>
    </row>
    <row r="392" spans="1:24" s="220" customFormat="1" ht="15">
      <c r="A392" s="264"/>
      <c r="B392" s="265"/>
      <c r="C392" s="265"/>
      <c r="D392" s="265"/>
      <c r="E392" s="265"/>
      <c r="F392" s="218"/>
      <c r="G392" s="218"/>
      <c r="H392" s="218"/>
      <c r="I392" s="218"/>
      <c r="J392" s="218"/>
      <c r="K392" s="218"/>
      <c r="L392" s="218"/>
      <c r="M392" s="218"/>
      <c r="N392" s="218"/>
      <c r="O392" s="218"/>
      <c r="P392" s="218"/>
      <c r="Q392" s="218"/>
      <c r="R392" s="218"/>
      <c r="S392" s="218"/>
      <c r="T392" s="218"/>
      <c r="U392" s="218"/>
      <c r="V392" s="218"/>
      <c r="W392" s="219"/>
      <c r="X392" s="219"/>
    </row>
    <row r="393" spans="1:24" s="220" customFormat="1" ht="15">
      <c r="A393" s="264"/>
      <c r="B393" s="265"/>
      <c r="C393" s="265"/>
      <c r="D393" s="265"/>
      <c r="E393" s="265"/>
      <c r="F393" s="218"/>
      <c r="G393" s="218"/>
      <c r="H393" s="218"/>
      <c r="I393" s="218"/>
      <c r="J393" s="218"/>
      <c r="K393" s="218"/>
      <c r="L393" s="218"/>
      <c r="M393" s="218"/>
      <c r="N393" s="218"/>
      <c r="O393" s="218"/>
      <c r="P393" s="218"/>
      <c r="Q393" s="218"/>
      <c r="R393" s="218"/>
      <c r="S393" s="218"/>
      <c r="T393" s="218"/>
      <c r="U393" s="218"/>
      <c r="V393" s="218"/>
      <c r="W393" s="219"/>
      <c r="X393" s="219"/>
    </row>
    <row r="394" spans="1:24" s="220" customFormat="1" ht="15">
      <c r="A394" s="264"/>
      <c r="B394" s="265"/>
      <c r="C394" s="265"/>
      <c r="D394" s="265"/>
      <c r="E394" s="265"/>
      <c r="F394" s="218"/>
      <c r="G394" s="218"/>
      <c r="H394" s="218"/>
      <c r="I394" s="218"/>
      <c r="J394" s="218"/>
      <c r="K394" s="218"/>
      <c r="L394" s="218"/>
      <c r="M394" s="218"/>
      <c r="N394" s="218"/>
      <c r="O394" s="218"/>
      <c r="P394" s="218"/>
      <c r="Q394" s="218"/>
      <c r="R394" s="218"/>
      <c r="S394" s="218"/>
      <c r="T394" s="218"/>
      <c r="U394" s="218"/>
      <c r="V394" s="218"/>
      <c r="W394" s="219"/>
      <c r="X394" s="219"/>
    </row>
    <row r="395" spans="1:24" s="220" customFormat="1" ht="15">
      <c r="A395" s="264"/>
      <c r="B395" s="265"/>
      <c r="C395" s="265"/>
      <c r="D395" s="265"/>
      <c r="E395" s="265"/>
      <c r="F395" s="218"/>
      <c r="G395" s="218"/>
      <c r="H395" s="218"/>
      <c r="I395" s="218"/>
      <c r="J395" s="218"/>
      <c r="K395" s="218"/>
      <c r="L395" s="218"/>
      <c r="M395" s="218"/>
      <c r="N395" s="218"/>
      <c r="O395" s="218"/>
      <c r="P395" s="218"/>
      <c r="Q395" s="218"/>
      <c r="R395" s="218"/>
      <c r="S395" s="218"/>
      <c r="T395" s="218"/>
      <c r="U395" s="218"/>
      <c r="V395" s="218"/>
      <c r="W395" s="219"/>
      <c r="X395" s="219"/>
    </row>
    <row r="396" spans="1:24" s="220" customFormat="1" ht="15">
      <c r="A396" s="264"/>
      <c r="B396" s="265"/>
      <c r="C396" s="265"/>
      <c r="D396" s="265"/>
      <c r="E396" s="265"/>
      <c r="F396" s="218"/>
      <c r="G396" s="218"/>
      <c r="H396" s="218"/>
      <c r="I396" s="218"/>
      <c r="J396" s="218"/>
      <c r="K396" s="218"/>
      <c r="L396" s="218"/>
      <c r="M396" s="218"/>
      <c r="N396" s="218"/>
      <c r="O396" s="218"/>
      <c r="P396" s="218"/>
      <c r="Q396" s="218"/>
      <c r="R396" s="218"/>
      <c r="S396" s="218"/>
      <c r="T396" s="218"/>
      <c r="U396" s="218"/>
      <c r="V396" s="218"/>
      <c r="W396" s="219"/>
      <c r="X396" s="219"/>
    </row>
    <row r="397" spans="1:24" s="220" customFormat="1" ht="15">
      <c r="A397" s="264"/>
      <c r="B397" s="265"/>
      <c r="C397" s="265"/>
      <c r="D397" s="265"/>
      <c r="E397" s="265"/>
      <c r="F397" s="218"/>
      <c r="G397" s="218"/>
      <c r="H397" s="218"/>
      <c r="I397" s="218"/>
      <c r="J397" s="218"/>
      <c r="K397" s="218"/>
      <c r="L397" s="218"/>
      <c r="M397" s="218"/>
      <c r="N397" s="218"/>
      <c r="O397" s="218"/>
      <c r="P397" s="218"/>
      <c r="Q397" s="218"/>
      <c r="R397" s="218"/>
      <c r="S397" s="218"/>
      <c r="T397" s="218"/>
      <c r="U397" s="218"/>
      <c r="V397" s="218"/>
      <c r="W397" s="219"/>
      <c r="X397" s="219"/>
    </row>
    <row r="398" spans="1:24" s="220" customFormat="1" ht="15">
      <c r="A398" s="264"/>
      <c r="B398" s="265"/>
      <c r="C398" s="265"/>
      <c r="D398" s="265"/>
      <c r="E398" s="265"/>
      <c r="F398" s="218"/>
      <c r="G398" s="218"/>
      <c r="H398" s="218"/>
      <c r="I398" s="218"/>
      <c r="J398" s="218"/>
      <c r="K398" s="218"/>
      <c r="L398" s="218"/>
      <c r="M398" s="218"/>
      <c r="N398" s="218"/>
      <c r="O398" s="218"/>
      <c r="P398" s="218"/>
      <c r="Q398" s="218"/>
      <c r="R398" s="218"/>
      <c r="S398" s="218"/>
      <c r="T398" s="218"/>
      <c r="U398" s="218"/>
      <c r="V398" s="218"/>
      <c r="W398" s="219"/>
      <c r="X398" s="219"/>
    </row>
    <row r="399" spans="1:24" s="220" customFormat="1" ht="15">
      <c r="A399" s="264"/>
      <c r="B399" s="265"/>
      <c r="C399" s="265"/>
      <c r="D399" s="265"/>
      <c r="E399" s="265"/>
      <c r="F399" s="218"/>
      <c r="G399" s="218"/>
      <c r="H399" s="218"/>
      <c r="I399" s="218"/>
      <c r="J399" s="218"/>
      <c r="K399" s="218"/>
      <c r="L399" s="218"/>
      <c r="M399" s="218"/>
      <c r="N399" s="218"/>
      <c r="O399" s="218"/>
      <c r="P399" s="218"/>
      <c r="Q399" s="218"/>
      <c r="R399" s="218"/>
      <c r="S399" s="218"/>
      <c r="T399" s="218"/>
      <c r="U399" s="218"/>
      <c r="V399" s="218"/>
      <c r="W399" s="219"/>
      <c r="X399" s="219"/>
    </row>
    <row r="400" spans="1:24" s="220" customFormat="1" ht="15">
      <c r="A400" s="264"/>
      <c r="B400" s="265"/>
      <c r="C400" s="265"/>
      <c r="D400" s="265"/>
      <c r="E400" s="265"/>
      <c r="F400" s="218"/>
      <c r="G400" s="218"/>
      <c r="H400" s="218"/>
      <c r="I400" s="218"/>
      <c r="J400" s="218"/>
      <c r="K400" s="218"/>
      <c r="L400" s="218"/>
      <c r="M400" s="218"/>
      <c r="N400" s="218"/>
      <c r="O400" s="218"/>
      <c r="P400" s="218"/>
      <c r="Q400" s="218"/>
      <c r="R400" s="218"/>
      <c r="S400" s="218"/>
      <c r="T400" s="218"/>
      <c r="U400" s="218"/>
      <c r="V400" s="218"/>
      <c r="W400" s="219"/>
      <c r="X400" s="219"/>
    </row>
    <row r="401" spans="1:24" s="220" customFormat="1" ht="15">
      <c r="A401" s="264"/>
      <c r="B401" s="265"/>
      <c r="C401" s="265"/>
      <c r="D401" s="265"/>
      <c r="E401" s="265"/>
      <c r="F401" s="218"/>
      <c r="G401" s="218"/>
      <c r="H401" s="218"/>
      <c r="I401" s="218"/>
      <c r="J401" s="218"/>
      <c r="K401" s="218"/>
      <c r="L401" s="218"/>
      <c r="M401" s="218"/>
      <c r="N401" s="218"/>
      <c r="O401" s="218"/>
      <c r="P401" s="218"/>
      <c r="Q401" s="218"/>
      <c r="R401" s="218"/>
      <c r="S401" s="218"/>
      <c r="T401" s="218"/>
      <c r="U401" s="218"/>
      <c r="V401" s="218"/>
      <c r="W401" s="219"/>
      <c r="X401" s="219"/>
    </row>
    <row r="402" spans="1:24" s="220" customFormat="1" ht="15">
      <c r="A402" s="264"/>
      <c r="B402" s="265"/>
      <c r="C402" s="265"/>
      <c r="D402" s="265"/>
      <c r="E402" s="265"/>
      <c r="F402" s="218"/>
      <c r="G402" s="218"/>
      <c r="H402" s="218"/>
      <c r="I402" s="218"/>
      <c r="J402" s="218"/>
      <c r="K402" s="218"/>
      <c r="L402" s="218"/>
      <c r="M402" s="218"/>
      <c r="N402" s="218"/>
      <c r="O402" s="218"/>
      <c r="P402" s="218"/>
      <c r="Q402" s="218"/>
      <c r="R402" s="218"/>
      <c r="S402" s="218"/>
      <c r="T402" s="218"/>
      <c r="U402" s="218"/>
      <c r="V402" s="218"/>
      <c r="W402" s="219"/>
      <c r="X402" s="219"/>
    </row>
    <row r="403" spans="1:24" s="220" customFormat="1" ht="15">
      <c r="A403" s="264"/>
      <c r="B403" s="265"/>
      <c r="C403" s="265"/>
      <c r="D403" s="265"/>
      <c r="E403" s="265"/>
      <c r="F403" s="218"/>
      <c r="G403" s="218"/>
      <c r="H403" s="218"/>
      <c r="I403" s="218"/>
      <c r="J403" s="218"/>
      <c r="K403" s="218"/>
      <c r="L403" s="218"/>
      <c r="M403" s="218"/>
      <c r="N403" s="218"/>
      <c r="O403" s="218"/>
      <c r="P403" s="218"/>
      <c r="Q403" s="218"/>
      <c r="R403" s="218"/>
      <c r="S403" s="218"/>
      <c r="T403" s="218"/>
      <c r="U403" s="218"/>
      <c r="V403" s="218"/>
      <c r="W403" s="219"/>
      <c r="X403" s="219"/>
    </row>
    <row r="404" spans="1:24" s="220" customFormat="1" ht="15">
      <c r="A404" s="264"/>
      <c r="B404" s="265"/>
      <c r="C404" s="265"/>
      <c r="D404" s="265"/>
      <c r="E404" s="265"/>
      <c r="F404" s="218"/>
      <c r="G404" s="218"/>
      <c r="H404" s="218"/>
      <c r="I404" s="218"/>
      <c r="J404" s="218"/>
      <c r="K404" s="218"/>
      <c r="L404" s="218"/>
      <c r="M404" s="218"/>
      <c r="N404" s="218"/>
      <c r="O404" s="218"/>
      <c r="P404" s="218"/>
      <c r="Q404" s="218"/>
      <c r="R404" s="218"/>
      <c r="S404" s="218"/>
      <c r="T404" s="218"/>
      <c r="U404" s="218"/>
      <c r="V404" s="218"/>
      <c r="W404" s="219"/>
      <c r="X404" s="219"/>
    </row>
    <row r="405" spans="1:24" s="220" customFormat="1" ht="15">
      <c r="A405" s="264"/>
      <c r="B405" s="265"/>
      <c r="C405" s="265"/>
      <c r="D405" s="265"/>
      <c r="E405" s="265"/>
      <c r="F405" s="218"/>
      <c r="G405" s="218"/>
      <c r="H405" s="218"/>
      <c r="I405" s="218"/>
      <c r="J405" s="218"/>
      <c r="K405" s="218"/>
      <c r="L405" s="218"/>
      <c r="M405" s="218"/>
      <c r="N405" s="218"/>
      <c r="O405" s="218"/>
      <c r="P405" s="218"/>
      <c r="Q405" s="218"/>
      <c r="R405" s="218"/>
      <c r="S405" s="218"/>
      <c r="T405" s="218"/>
      <c r="U405" s="218"/>
      <c r="V405" s="218"/>
      <c r="W405" s="219"/>
      <c r="X405" s="219"/>
    </row>
    <row r="406" spans="1:24" s="220" customFormat="1" ht="15">
      <c r="A406" s="264"/>
      <c r="B406" s="265"/>
      <c r="C406" s="265"/>
      <c r="D406" s="265"/>
      <c r="E406" s="265"/>
      <c r="F406" s="218"/>
      <c r="G406" s="218"/>
      <c r="H406" s="218"/>
      <c r="I406" s="218"/>
      <c r="J406" s="218"/>
      <c r="K406" s="218"/>
      <c r="L406" s="218"/>
      <c r="M406" s="218"/>
      <c r="N406" s="218"/>
      <c r="O406" s="218"/>
      <c r="P406" s="218"/>
      <c r="Q406" s="218"/>
      <c r="R406" s="218"/>
      <c r="S406" s="218"/>
      <c r="T406" s="218"/>
      <c r="U406" s="218"/>
      <c r="V406" s="218"/>
      <c r="W406" s="219"/>
      <c r="X406" s="219"/>
    </row>
    <row r="407" spans="1:24" s="220" customFormat="1" ht="15">
      <c r="A407" s="264"/>
      <c r="B407" s="265"/>
      <c r="C407" s="265"/>
      <c r="D407" s="265"/>
      <c r="E407" s="265"/>
      <c r="F407" s="218"/>
      <c r="G407" s="218"/>
      <c r="H407" s="218"/>
      <c r="I407" s="218"/>
      <c r="J407" s="218"/>
      <c r="K407" s="218"/>
      <c r="L407" s="218"/>
      <c r="M407" s="218"/>
      <c r="N407" s="218"/>
      <c r="O407" s="218"/>
      <c r="P407" s="218"/>
      <c r="Q407" s="218"/>
      <c r="R407" s="218"/>
      <c r="S407" s="218"/>
      <c r="T407" s="218"/>
      <c r="U407" s="218"/>
      <c r="V407" s="218"/>
      <c r="W407" s="219"/>
      <c r="X407" s="219"/>
    </row>
    <row r="408" spans="1:24" s="220" customFormat="1" ht="15">
      <c r="A408" s="264"/>
      <c r="B408" s="265"/>
      <c r="C408" s="265"/>
      <c r="D408" s="265"/>
      <c r="E408" s="265"/>
      <c r="F408" s="218"/>
      <c r="G408" s="218"/>
      <c r="H408" s="218"/>
      <c r="I408" s="218"/>
      <c r="J408" s="218"/>
      <c r="K408" s="218"/>
      <c r="L408" s="218"/>
      <c r="M408" s="218"/>
      <c r="N408" s="218"/>
      <c r="O408" s="218"/>
      <c r="P408" s="218"/>
      <c r="Q408" s="218"/>
      <c r="R408" s="218"/>
      <c r="S408" s="218"/>
      <c r="T408" s="218"/>
      <c r="U408" s="218"/>
      <c r="V408" s="218"/>
      <c r="W408" s="219"/>
      <c r="X408" s="219"/>
    </row>
    <row r="409" spans="1:24" s="220" customFormat="1" ht="15">
      <c r="A409" s="264"/>
      <c r="B409" s="265"/>
      <c r="C409" s="265"/>
      <c r="D409" s="265"/>
      <c r="E409" s="265"/>
      <c r="F409" s="218"/>
      <c r="G409" s="218"/>
      <c r="H409" s="218"/>
      <c r="I409" s="218"/>
      <c r="J409" s="218"/>
      <c r="K409" s="218"/>
      <c r="L409" s="218"/>
      <c r="M409" s="218"/>
      <c r="N409" s="218"/>
      <c r="O409" s="218"/>
      <c r="P409" s="218"/>
      <c r="Q409" s="218"/>
      <c r="R409" s="218"/>
      <c r="S409" s="218"/>
      <c r="T409" s="218"/>
      <c r="U409" s="218"/>
      <c r="V409" s="218"/>
      <c r="W409" s="219"/>
      <c r="X409" s="219"/>
    </row>
    <row r="410" spans="1:24" s="220" customFormat="1" ht="15">
      <c r="A410" s="264"/>
      <c r="B410" s="265"/>
      <c r="C410" s="265"/>
      <c r="D410" s="265"/>
      <c r="E410" s="265"/>
      <c r="F410" s="218"/>
      <c r="G410" s="218"/>
      <c r="H410" s="218"/>
      <c r="I410" s="218"/>
      <c r="J410" s="218"/>
      <c r="K410" s="218"/>
      <c r="L410" s="218"/>
      <c r="M410" s="218"/>
      <c r="N410" s="218"/>
      <c r="O410" s="218"/>
      <c r="P410" s="218"/>
      <c r="Q410" s="218"/>
      <c r="R410" s="218"/>
      <c r="S410" s="218"/>
      <c r="T410" s="218"/>
      <c r="U410" s="218"/>
      <c r="V410" s="218"/>
      <c r="W410" s="219"/>
      <c r="X410" s="219"/>
    </row>
    <row r="411" spans="1:24" s="220" customFormat="1" ht="15">
      <c r="A411" s="264"/>
      <c r="B411" s="265"/>
      <c r="C411" s="265"/>
      <c r="D411" s="265"/>
      <c r="E411" s="265"/>
      <c r="F411" s="218"/>
      <c r="G411" s="218"/>
      <c r="H411" s="218"/>
      <c r="I411" s="218"/>
      <c r="J411" s="218"/>
      <c r="K411" s="218"/>
      <c r="L411" s="218"/>
      <c r="M411" s="218"/>
      <c r="N411" s="218"/>
      <c r="O411" s="218"/>
      <c r="P411" s="218"/>
      <c r="Q411" s="218"/>
      <c r="R411" s="218"/>
      <c r="S411" s="218"/>
      <c r="T411" s="218"/>
      <c r="U411" s="218"/>
      <c r="V411" s="218"/>
      <c r="W411" s="219"/>
      <c r="X411" s="219"/>
    </row>
    <row r="412" spans="1:24" s="220" customFormat="1" ht="15">
      <c r="A412" s="264"/>
      <c r="B412" s="265"/>
      <c r="C412" s="265"/>
      <c r="D412" s="265"/>
      <c r="E412" s="265"/>
      <c r="F412" s="218"/>
      <c r="G412" s="218"/>
      <c r="H412" s="218"/>
      <c r="I412" s="218"/>
      <c r="J412" s="218"/>
      <c r="K412" s="218"/>
      <c r="L412" s="218"/>
      <c r="M412" s="218"/>
      <c r="N412" s="218"/>
      <c r="O412" s="218"/>
      <c r="P412" s="218"/>
      <c r="Q412" s="218"/>
      <c r="R412" s="218"/>
      <c r="S412" s="218"/>
      <c r="T412" s="218"/>
      <c r="U412" s="218"/>
      <c r="V412" s="218"/>
      <c r="W412" s="219"/>
      <c r="X412" s="219"/>
    </row>
    <row r="413" spans="1:24" s="220" customFormat="1" ht="15">
      <c r="A413" s="264"/>
      <c r="B413" s="265"/>
      <c r="C413" s="265"/>
      <c r="D413" s="265"/>
      <c r="E413" s="265"/>
      <c r="F413" s="218"/>
      <c r="G413" s="218"/>
      <c r="H413" s="218"/>
      <c r="I413" s="218"/>
      <c r="J413" s="218"/>
      <c r="K413" s="218"/>
      <c r="L413" s="218"/>
      <c r="M413" s="218"/>
      <c r="N413" s="218"/>
      <c r="O413" s="218"/>
      <c r="P413" s="218"/>
      <c r="Q413" s="218"/>
      <c r="R413" s="218"/>
      <c r="S413" s="218"/>
      <c r="T413" s="218"/>
      <c r="U413" s="218"/>
      <c r="V413" s="218"/>
      <c r="W413" s="219"/>
      <c r="X413" s="219"/>
    </row>
    <row r="414" spans="1:24" s="220" customFormat="1" ht="15">
      <c r="A414" s="264"/>
      <c r="B414" s="265"/>
      <c r="C414" s="265"/>
      <c r="D414" s="265"/>
      <c r="E414" s="265"/>
      <c r="F414" s="218"/>
      <c r="G414" s="218"/>
      <c r="H414" s="218"/>
      <c r="I414" s="218"/>
      <c r="J414" s="218"/>
      <c r="K414" s="218"/>
      <c r="L414" s="218"/>
      <c r="M414" s="218"/>
      <c r="N414" s="218"/>
      <c r="O414" s="218"/>
      <c r="P414" s="218"/>
      <c r="Q414" s="218"/>
      <c r="R414" s="218"/>
      <c r="S414" s="218"/>
      <c r="T414" s="218"/>
      <c r="U414" s="218"/>
      <c r="V414" s="218"/>
      <c r="W414" s="219"/>
      <c r="X414" s="219"/>
    </row>
    <row r="415" spans="1:24" s="220" customFormat="1" ht="15">
      <c r="A415" s="264"/>
      <c r="B415" s="265"/>
      <c r="C415" s="265"/>
      <c r="D415" s="265"/>
      <c r="E415" s="265"/>
      <c r="F415" s="218"/>
      <c r="G415" s="218"/>
      <c r="H415" s="218"/>
      <c r="I415" s="218"/>
      <c r="J415" s="218"/>
      <c r="K415" s="218"/>
      <c r="L415" s="218"/>
      <c r="M415" s="218"/>
      <c r="N415" s="218"/>
      <c r="O415" s="218"/>
      <c r="P415" s="218"/>
      <c r="Q415" s="218"/>
      <c r="R415" s="218"/>
      <c r="S415" s="218"/>
      <c r="T415" s="218"/>
      <c r="U415" s="218"/>
      <c r="V415" s="218"/>
      <c r="W415" s="219"/>
      <c r="X415" s="219"/>
    </row>
    <row r="416" spans="1:24" s="220" customFormat="1" ht="15">
      <c r="A416" s="264"/>
      <c r="B416" s="265"/>
      <c r="C416" s="265"/>
      <c r="D416" s="265"/>
      <c r="E416" s="265"/>
      <c r="F416" s="218"/>
      <c r="G416" s="218"/>
      <c r="H416" s="218"/>
      <c r="I416" s="218"/>
      <c r="J416" s="218"/>
      <c r="K416" s="218"/>
      <c r="L416" s="218"/>
      <c r="M416" s="218"/>
      <c r="N416" s="218"/>
      <c r="O416" s="218"/>
      <c r="P416" s="218"/>
      <c r="Q416" s="218"/>
      <c r="R416" s="218"/>
      <c r="S416" s="218"/>
      <c r="T416" s="218"/>
      <c r="U416" s="218"/>
      <c r="V416" s="218"/>
      <c r="W416" s="219"/>
      <c r="X416" s="219"/>
    </row>
    <row r="417" spans="1:24" s="220" customFormat="1" ht="15">
      <c r="A417" s="264"/>
      <c r="B417" s="265"/>
      <c r="C417" s="265"/>
      <c r="D417" s="265"/>
      <c r="E417" s="265"/>
      <c r="F417" s="218"/>
      <c r="G417" s="218"/>
      <c r="H417" s="218"/>
      <c r="I417" s="218"/>
      <c r="J417" s="218"/>
      <c r="K417" s="218"/>
      <c r="L417" s="218"/>
      <c r="M417" s="218"/>
      <c r="N417" s="218"/>
      <c r="O417" s="218"/>
      <c r="P417" s="218"/>
      <c r="Q417" s="218"/>
      <c r="R417" s="218"/>
      <c r="S417" s="218"/>
      <c r="T417" s="218"/>
      <c r="U417" s="218"/>
      <c r="V417" s="218"/>
      <c r="W417" s="219"/>
      <c r="X417" s="219"/>
    </row>
    <row r="418" spans="1:24" s="220" customFormat="1" ht="15">
      <c r="A418" s="264"/>
      <c r="B418" s="265"/>
      <c r="C418" s="265"/>
      <c r="D418" s="265"/>
      <c r="E418" s="265"/>
      <c r="F418" s="218"/>
      <c r="G418" s="218"/>
      <c r="H418" s="218"/>
      <c r="I418" s="218"/>
      <c r="J418" s="218"/>
      <c r="K418" s="218"/>
      <c r="L418" s="218"/>
      <c r="M418" s="218"/>
      <c r="N418" s="218"/>
      <c r="O418" s="218"/>
      <c r="P418" s="218"/>
      <c r="Q418" s="218"/>
      <c r="R418" s="218"/>
      <c r="S418" s="218"/>
      <c r="T418" s="218"/>
      <c r="U418" s="218"/>
      <c r="V418" s="218"/>
      <c r="W418" s="219"/>
      <c r="X418" s="219"/>
    </row>
    <row r="419" spans="1:24" s="220" customFormat="1" ht="15">
      <c r="A419" s="264"/>
      <c r="B419" s="265"/>
      <c r="C419" s="265"/>
      <c r="D419" s="265"/>
      <c r="E419" s="265"/>
      <c r="F419" s="218"/>
      <c r="G419" s="218"/>
      <c r="H419" s="218"/>
      <c r="I419" s="218"/>
      <c r="J419" s="218"/>
      <c r="K419" s="218"/>
      <c r="L419" s="218"/>
      <c r="M419" s="218"/>
      <c r="N419" s="218"/>
      <c r="O419" s="218"/>
      <c r="P419" s="218"/>
      <c r="Q419" s="218"/>
      <c r="R419" s="218"/>
      <c r="S419" s="218"/>
      <c r="T419" s="218"/>
      <c r="U419" s="218"/>
      <c r="V419" s="218"/>
      <c r="W419" s="219"/>
      <c r="X419" s="219"/>
    </row>
    <row r="420" spans="1:24" s="220" customFormat="1" ht="15">
      <c r="A420" s="264"/>
      <c r="B420" s="265"/>
      <c r="C420" s="265"/>
      <c r="D420" s="265"/>
      <c r="E420" s="265"/>
      <c r="F420" s="218"/>
      <c r="G420" s="218"/>
      <c r="H420" s="218"/>
      <c r="I420" s="218"/>
      <c r="J420" s="218"/>
      <c r="K420" s="218"/>
      <c r="L420" s="218"/>
      <c r="M420" s="218"/>
      <c r="N420" s="218"/>
      <c r="O420" s="218"/>
      <c r="P420" s="218"/>
      <c r="Q420" s="218"/>
      <c r="R420" s="218"/>
      <c r="S420" s="218"/>
      <c r="T420" s="218"/>
      <c r="U420" s="218"/>
      <c r="V420" s="218"/>
      <c r="W420" s="219"/>
      <c r="X420" s="219"/>
    </row>
    <row r="421" spans="1:24" s="220" customFormat="1" ht="15">
      <c r="A421" s="264"/>
      <c r="B421" s="265"/>
      <c r="C421" s="265"/>
      <c r="D421" s="265"/>
      <c r="E421" s="265"/>
      <c r="F421" s="218"/>
      <c r="G421" s="218"/>
      <c r="H421" s="218"/>
      <c r="I421" s="218"/>
      <c r="J421" s="218"/>
      <c r="K421" s="218"/>
      <c r="L421" s="218"/>
      <c r="M421" s="218"/>
      <c r="N421" s="218"/>
      <c r="O421" s="218"/>
      <c r="P421" s="218"/>
      <c r="Q421" s="218"/>
      <c r="R421" s="218"/>
      <c r="S421" s="218"/>
      <c r="T421" s="218"/>
      <c r="U421" s="218"/>
      <c r="V421" s="218"/>
      <c r="W421" s="219"/>
      <c r="X421" s="219"/>
    </row>
    <row r="422" spans="1:24" s="220" customFormat="1" ht="15">
      <c r="A422" s="264"/>
      <c r="B422" s="265"/>
      <c r="C422" s="265"/>
      <c r="D422" s="265"/>
      <c r="E422" s="265"/>
      <c r="F422" s="218"/>
      <c r="G422" s="218"/>
      <c r="H422" s="218"/>
      <c r="I422" s="218"/>
      <c r="J422" s="218"/>
      <c r="K422" s="218"/>
      <c r="L422" s="218"/>
      <c r="M422" s="218"/>
      <c r="N422" s="218"/>
      <c r="O422" s="218"/>
      <c r="P422" s="218"/>
      <c r="Q422" s="218"/>
      <c r="R422" s="218"/>
      <c r="S422" s="218"/>
      <c r="T422" s="218"/>
      <c r="U422" s="218"/>
      <c r="V422" s="218"/>
      <c r="W422" s="219"/>
      <c r="X422" s="219"/>
    </row>
    <row r="423" spans="1:24" s="220" customFormat="1" ht="15">
      <c r="A423" s="264"/>
      <c r="B423" s="265"/>
      <c r="C423" s="265"/>
      <c r="D423" s="265"/>
      <c r="E423" s="265"/>
      <c r="F423" s="218"/>
      <c r="G423" s="218"/>
      <c r="H423" s="218"/>
      <c r="I423" s="218"/>
      <c r="J423" s="218"/>
      <c r="K423" s="218"/>
      <c r="L423" s="218"/>
      <c r="M423" s="218"/>
      <c r="N423" s="218"/>
      <c r="O423" s="218"/>
      <c r="P423" s="218"/>
      <c r="Q423" s="218"/>
      <c r="R423" s="218"/>
      <c r="S423" s="218"/>
      <c r="T423" s="218"/>
      <c r="U423" s="218"/>
      <c r="V423" s="218"/>
      <c r="W423" s="219"/>
      <c r="X423" s="219"/>
    </row>
    <row r="424" spans="1:24" s="220" customFormat="1" ht="15">
      <c r="A424" s="264"/>
      <c r="B424" s="265"/>
      <c r="C424" s="265"/>
      <c r="D424" s="265"/>
      <c r="E424" s="265"/>
      <c r="F424" s="218"/>
      <c r="G424" s="218"/>
      <c r="H424" s="218"/>
      <c r="I424" s="218"/>
      <c r="J424" s="218"/>
      <c r="K424" s="218"/>
      <c r="L424" s="218"/>
      <c r="M424" s="218"/>
      <c r="N424" s="218"/>
      <c r="O424" s="218"/>
      <c r="P424" s="218"/>
      <c r="Q424" s="218"/>
      <c r="R424" s="218"/>
      <c r="S424" s="218"/>
      <c r="T424" s="218"/>
      <c r="U424" s="218"/>
      <c r="V424" s="218"/>
      <c r="W424" s="219"/>
      <c r="X424" s="219"/>
    </row>
    <row r="425" spans="1:24" s="220" customFormat="1" ht="15">
      <c r="A425" s="264"/>
      <c r="B425" s="265"/>
      <c r="C425" s="265"/>
      <c r="D425" s="265"/>
      <c r="E425" s="265"/>
      <c r="F425" s="218"/>
      <c r="G425" s="218"/>
      <c r="H425" s="218"/>
      <c r="I425" s="218"/>
      <c r="J425" s="218"/>
      <c r="K425" s="218"/>
      <c r="L425" s="218"/>
      <c r="M425" s="218"/>
      <c r="N425" s="218"/>
      <c r="O425" s="218"/>
      <c r="P425" s="218"/>
      <c r="Q425" s="218"/>
      <c r="R425" s="218"/>
      <c r="S425" s="218"/>
      <c r="T425" s="218"/>
      <c r="U425" s="218"/>
      <c r="V425" s="218"/>
      <c r="W425" s="219"/>
      <c r="X425" s="219"/>
    </row>
    <row r="426" spans="1:24" s="220" customFormat="1" ht="15">
      <c r="A426" s="264"/>
      <c r="B426" s="265"/>
      <c r="C426" s="265"/>
      <c r="D426" s="265"/>
      <c r="E426" s="265"/>
      <c r="F426" s="218"/>
      <c r="G426" s="218"/>
      <c r="H426" s="218"/>
      <c r="I426" s="218"/>
      <c r="J426" s="218"/>
      <c r="K426" s="218"/>
      <c r="L426" s="218"/>
      <c r="M426" s="218"/>
      <c r="N426" s="218"/>
      <c r="O426" s="218"/>
      <c r="P426" s="218"/>
      <c r="Q426" s="218"/>
      <c r="R426" s="218"/>
      <c r="S426" s="218"/>
      <c r="T426" s="218"/>
      <c r="U426" s="218"/>
      <c r="V426" s="218"/>
      <c r="W426" s="219"/>
      <c r="X426" s="219"/>
    </row>
    <row r="427" spans="1:24" s="220" customFormat="1" ht="15">
      <c r="A427" s="264"/>
      <c r="B427" s="265"/>
      <c r="C427" s="265"/>
      <c r="D427" s="265"/>
      <c r="E427" s="265"/>
      <c r="F427" s="218"/>
      <c r="G427" s="218"/>
      <c r="H427" s="218"/>
      <c r="I427" s="218"/>
      <c r="J427" s="218"/>
      <c r="K427" s="218"/>
      <c r="L427" s="218"/>
      <c r="M427" s="218"/>
      <c r="N427" s="218"/>
      <c r="O427" s="218"/>
      <c r="P427" s="218"/>
      <c r="Q427" s="218"/>
      <c r="R427" s="218"/>
      <c r="S427" s="218"/>
      <c r="T427" s="218"/>
      <c r="U427" s="218"/>
      <c r="V427" s="218"/>
      <c r="W427" s="219"/>
      <c r="X427" s="219"/>
    </row>
    <row r="428" spans="1:24" s="220" customFormat="1" ht="15">
      <c r="A428" s="264"/>
      <c r="B428" s="265"/>
      <c r="C428" s="265"/>
      <c r="D428" s="265"/>
      <c r="E428" s="265"/>
      <c r="F428" s="218"/>
      <c r="G428" s="218"/>
      <c r="H428" s="218"/>
      <c r="I428" s="218"/>
      <c r="J428" s="218"/>
      <c r="K428" s="218"/>
      <c r="L428" s="218"/>
      <c r="M428" s="218"/>
      <c r="N428" s="218"/>
      <c r="O428" s="218"/>
      <c r="P428" s="218"/>
      <c r="Q428" s="218"/>
      <c r="R428" s="218"/>
      <c r="S428" s="218"/>
      <c r="T428" s="218"/>
      <c r="U428" s="218"/>
      <c r="V428" s="218"/>
      <c r="W428" s="219"/>
      <c r="X428" s="219"/>
    </row>
    <row r="429" spans="1:24" s="220" customFormat="1" ht="15">
      <c r="A429" s="264"/>
      <c r="B429" s="265"/>
      <c r="C429" s="265"/>
      <c r="D429" s="265"/>
      <c r="E429" s="265"/>
      <c r="F429" s="218"/>
      <c r="G429" s="218"/>
      <c r="H429" s="218"/>
      <c r="I429" s="218"/>
      <c r="J429" s="218"/>
      <c r="K429" s="218"/>
      <c r="L429" s="218"/>
      <c r="M429" s="218"/>
      <c r="N429" s="218"/>
      <c r="O429" s="218"/>
      <c r="P429" s="218"/>
      <c r="Q429" s="218"/>
      <c r="R429" s="218"/>
      <c r="S429" s="218"/>
      <c r="T429" s="218"/>
      <c r="U429" s="218"/>
      <c r="V429" s="218"/>
      <c r="W429" s="219"/>
      <c r="X429" s="219"/>
    </row>
    <row r="430" spans="1:24" s="220" customFormat="1" ht="15">
      <c r="A430" s="264"/>
      <c r="B430" s="265"/>
      <c r="C430" s="265"/>
      <c r="D430" s="265"/>
      <c r="E430" s="265"/>
      <c r="F430" s="218"/>
      <c r="G430" s="218"/>
      <c r="H430" s="218"/>
      <c r="I430" s="218"/>
      <c r="J430" s="218"/>
      <c r="K430" s="218"/>
      <c r="L430" s="218"/>
      <c r="M430" s="218"/>
      <c r="N430" s="218"/>
      <c r="O430" s="218"/>
      <c r="P430" s="218"/>
      <c r="Q430" s="218"/>
      <c r="R430" s="218"/>
      <c r="S430" s="218"/>
      <c r="T430" s="218"/>
      <c r="U430" s="218"/>
      <c r="V430" s="218"/>
      <c r="W430" s="219"/>
      <c r="X430" s="219"/>
    </row>
    <row r="431" spans="1:24" s="220" customFormat="1" ht="15">
      <c r="A431" s="264"/>
      <c r="B431" s="265"/>
      <c r="C431" s="265"/>
      <c r="D431" s="265"/>
      <c r="E431" s="265"/>
      <c r="F431" s="218"/>
      <c r="G431" s="218"/>
      <c r="H431" s="218"/>
      <c r="I431" s="218"/>
      <c r="J431" s="218"/>
      <c r="K431" s="218"/>
      <c r="L431" s="218"/>
      <c r="M431" s="218"/>
      <c r="N431" s="218"/>
      <c r="O431" s="218"/>
      <c r="P431" s="218"/>
      <c r="Q431" s="218"/>
      <c r="R431" s="218"/>
      <c r="S431" s="218"/>
      <c r="T431" s="218"/>
      <c r="U431" s="218"/>
      <c r="V431" s="218"/>
      <c r="W431" s="219"/>
      <c r="X431" s="219"/>
    </row>
    <row r="432" spans="1:24" s="220" customFormat="1" ht="15">
      <c r="A432" s="264"/>
      <c r="B432" s="265"/>
      <c r="C432" s="265"/>
      <c r="D432" s="265"/>
      <c r="E432" s="265"/>
      <c r="F432" s="218"/>
      <c r="G432" s="218"/>
      <c r="H432" s="218"/>
      <c r="I432" s="218"/>
      <c r="J432" s="218"/>
      <c r="K432" s="218"/>
      <c r="L432" s="218"/>
      <c r="M432" s="218"/>
      <c r="N432" s="218"/>
      <c r="O432" s="218"/>
      <c r="P432" s="218"/>
      <c r="Q432" s="218"/>
      <c r="R432" s="218"/>
      <c r="S432" s="218"/>
      <c r="T432" s="218"/>
      <c r="U432" s="218"/>
      <c r="V432" s="218"/>
      <c r="W432" s="219"/>
      <c r="X432" s="219"/>
    </row>
    <row r="433" spans="1:24" s="220" customFormat="1" ht="15">
      <c r="A433" s="264"/>
      <c r="B433" s="265"/>
      <c r="C433" s="265"/>
      <c r="D433" s="265"/>
      <c r="E433" s="265"/>
      <c r="F433" s="218"/>
      <c r="G433" s="218"/>
      <c r="H433" s="218"/>
      <c r="I433" s="218"/>
      <c r="J433" s="218"/>
      <c r="K433" s="218"/>
      <c r="L433" s="218"/>
      <c r="M433" s="218"/>
      <c r="N433" s="218"/>
      <c r="O433" s="218"/>
      <c r="P433" s="218"/>
      <c r="Q433" s="218"/>
      <c r="R433" s="218"/>
      <c r="S433" s="218"/>
      <c r="T433" s="218"/>
      <c r="U433" s="218"/>
      <c r="V433" s="218"/>
      <c r="W433" s="219"/>
      <c r="X433" s="219"/>
    </row>
    <row r="434" spans="1:24" s="220" customFormat="1" ht="15">
      <c r="A434" s="264"/>
      <c r="B434" s="265"/>
      <c r="C434" s="265"/>
      <c r="D434" s="265"/>
      <c r="E434" s="265"/>
      <c r="F434" s="218"/>
      <c r="G434" s="218"/>
      <c r="H434" s="218"/>
      <c r="I434" s="218"/>
      <c r="J434" s="218"/>
      <c r="K434" s="218"/>
      <c r="L434" s="218"/>
      <c r="M434" s="218"/>
      <c r="N434" s="218"/>
      <c r="O434" s="218"/>
      <c r="P434" s="218"/>
      <c r="Q434" s="218"/>
      <c r="R434" s="218"/>
      <c r="S434" s="218"/>
      <c r="T434" s="218"/>
      <c r="U434" s="218"/>
      <c r="V434" s="218"/>
      <c r="W434" s="219"/>
      <c r="X434" s="219"/>
    </row>
    <row r="435" spans="1:24" s="220" customFormat="1" ht="15">
      <c r="A435" s="264"/>
      <c r="B435" s="265"/>
      <c r="C435" s="265"/>
      <c r="D435" s="265"/>
      <c r="E435" s="265"/>
      <c r="F435" s="218"/>
      <c r="G435" s="218"/>
      <c r="H435" s="218"/>
      <c r="I435" s="218"/>
      <c r="J435" s="218"/>
      <c r="K435" s="218"/>
      <c r="L435" s="218"/>
      <c r="M435" s="218"/>
      <c r="N435" s="218"/>
      <c r="O435" s="218"/>
      <c r="P435" s="218"/>
      <c r="Q435" s="218"/>
      <c r="R435" s="218"/>
      <c r="S435" s="218"/>
      <c r="T435" s="218"/>
      <c r="U435" s="218"/>
      <c r="V435" s="218"/>
      <c r="W435" s="219"/>
      <c r="X435" s="219"/>
    </row>
    <row r="436" spans="1:24" s="220" customFormat="1" ht="15">
      <c r="A436" s="264"/>
      <c r="B436" s="265"/>
      <c r="C436" s="265"/>
      <c r="D436" s="265"/>
      <c r="E436" s="265"/>
      <c r="F436" s="218"/>
      <c r="G436" s="218"/>
      <c r="H436" s="218"/>
      <c r="I436" s="218"/>
      <c r="J436" s="218"/>
      <c r="K436" s="218"/>
      <c r="L436" s="218"/>
      <c r="M436" s="218"/>
      <c r="N436" s="218"/>
      <c r="O436" s="218"/>
      <c r="P436" s="218"/>
      <c r="Q436" s="218"/>
      <c r="R436" s="218"/>
      <c r="S436" s="218"/>
      <c r="T436" s="218"/>
      <c r="U436" s="218"/>
      <c r="V436" s="218"/>
      <c r="W436" s="219"/>
      <c r="X436" s="219"/>
    </row>
    <row r="437" spans="1:24" s="220" customFormat="1" ht="15">
      <c r="A437" s="264"/>
      <c r="B437" s="265"/>
      <c r="C437" s="265"/>
      <c r="D437" s="265"/>
      <c r="E437" s="265"/>
      <c r="F437" s="218"/>
      <c r="G437" s="218"/>
      <c r="H437" s="218"/>
      <c r="I437" s="218"/>
      <c r="J437" s="218"/>
      <c r="K437" s="218"/>
      <c r="L437" s="218"/>
      <c r="M437" s="218"/>
      <c r="N437" s="218"/>
      <c r="O437" s="218"/>
      <c r="P437" s="218"/>
      <c r="Q437" s="218"/>
      <c r="R437" s="218"/>
      <c r="S437" s="218"/>
      <c r="T437" s="218"/>
      <c r="U437" s="218"/>
      <c r="V437" s="218"/>
      <c r="W437" s="219"/>
      <c r="X437" s="219"/>
    </row>
    <row r="438" spans="1:24" s="220" customFormat="1" ht="15">
      <c r="A438" s="264"/>
      <c r="B438" s="265"/>
      <c r="C438" s="265"/>
      <c r="D438" s="265"/>
      <c r="E438" s="265"/>
      <c r="F438" s="218"/>
      <c r="G438" s="218"/>
      <c r="H438" s="218"/>
      <c r="I438" s="218"/>
      <c r="J438" s="218"/>
      <c r="K438" s="218"/>
      <c r="L438" s="218"/>
      <c r="M438" s="218"/>
      <c r="N438" s="218"/>
      <c r="O438" s="218"/>
      <c r="P438" s="218"/>
      <c r="Q438" s="218"/>
      <c r="R438" s="218"/>
      <c r="S438" s="218"/>
      <c r="T438" s="218"/>
      <c r="U438" s="218"/>
      <c r="V438" s="218"/>
      <c r="W438" s="219"/>
      <c r="X438" s="219"/>
    </row>
    <row r="439" spans="1:24" s="220" customFormat="1" ht="15">
      <c r="A439" s="264"/>
      <c r="B439" s="265"/>
      <c r="C439" s="265"/>
      <c r="D439" s="265"/>
      <c r="E439" s="265"/>
      <c r="F439" s="218"/>
      <c r="G439" s="218"/>
      <c r="H439" s="218"/>
      <c r="I439" s="218"/>
      <c r="J439" s="218"/>
      <c r="K439" s="218"/>
      <c r="L439" s="218"/>
      <c r="M439" s="218"/>
      <c r="N439" s="218"/>
      <c r="O439" s="218"/>
      <c r="P439" s="218"/>
      <c r="Q439" s="218"/>
      <c r="R439" s="218"/>
      <c r="S439" s="218"/>
      <c r="T439" s="218"/>
      <c r="U439" s="218"/>
      <c r="V439" s="218"/>
      <c r="W439" s="219"/>
      <c r="X439" s="219"/>
    </row>
    <row r="440" spans="1:24" s="220" customFormat="1" ht="15">
      <c r="A440" s="264"/>
      <c r="B440" s="265"/>
      <c r="C440" s="265"/>
      <c r="D440" s="265"/>
      <c r="E440" s="265"/>
      <c r="F440" s="218"/>
      <c r="G440" s="218"/>
      <c r="H440" s="218"/>
      <c r="I440" s="218"/>
      <c r="J440" s="218"/>
      <c r="K440" s="218"/>
      <c r="L440" s="218"/>
      <c r="M440" s="218"/>
      <c r="N440" s="218"/>
      <c r="O440" s="218"/>
      <c r="P440" s="218"/>
      <c r="Q440" s="218"/>
      <c r="R440" s="218"/>
      <c r="S440" s="218"/>
      <c r="T440" s="218"/>
      <c r="U440" s="218"/>
      <c r="V440" s="218"/>
      <c r="W440" s="219"/>
      <c r="X440" s="219"/>
    </row>
    <row r="441" spans="1:24" s="220" customFormat="1" ht="15">
      <c r="A441" s="264"/>
      <c r="B441" s="265"/>
      <c r="C441" s="265"/>
      <c r="D441" s="265"/>
      <c r="E441" s="265"/>
      <c r="F441" s="218"/>
      <c r="G441" s="218"/>
      <c r="H441" s="218"/>
      <c r="I441" s="218"/>
      <c r="J441" s="218"/>
      <c r="K441" s="218"/>
      <c r="L441" s="218"/>
      <c r="M441" s="218"/>
      <c r="N441" s="218"/>
      <c r="O441" s="218"/>
      <c r="P441" s="218"/>
      <c r="Q441" s="218"/>
      <c r="R441" s="218"/>
      <c r="S441" s="218"/>
      <c r="T441" s="218"/>
      <c r="U441" s="218"/>
      <c r="V441" s="218"/>
      <c r="W441" s="219"/>
      <c r="X441" s="219"/>
    </row>
    <row r="442" spans="1:24" s="220" customFormat="1" ht="15">
      <c r="A442" s="264"/>
      <c r="B442" s="265"/>
      <c r="C442" s="265"/>
      <c r="D442" s="265"/>
      <c r="E442" s="265"/>
      <c r="F442" s="218"/>
      <c r="G442" s="218"/>
      <c r="H442" s="218"/>
      <c r="I442" s="218"/>
      <c r="J442" s="218"/>
      <c r="K442" s="218"/>
      <c r="L442" s="218"/>
      <c r="M442" s="218"/>
      <c r="N442" s="218"/>
      <c r="O442" s="218"/>
      <c r="P442" s="218"/>
      <c r="Q442" s="218"/>
      <c r="R442" s="218"/>
      <c r="S442" s="218"/>
      <c r="T442" s="218"/>
      <c r="U442" s="218"/>
      <c r="V442" s="218"/>
      <c r="W442" s="219"/>
      <c r="X442" s="219"/>
    </row>
    <row r="443" spans="1:24" s="220" customFormat="1" ht="15">
      <c r="A443" s="264"/>
      <c r="B443" s="265"/>
      <c r="C443" s="265"/>
      <c r="D443" s="265"/>
      <c r="E443" s="265"/>
      <c r="F443" s="218"/>
      <c r="G443" s="218"/>
      <c r="H443" s="218"/>
      <c r="I443" s="218"/>
      <c r="J443" s="218"/>
      <c r="K443" s="218"/>
      <c r="L443" s="218"/>
      <c r="M443" s="218"/>
      <c r="N443" s="218"/>
      <c r="O443" s="218"/>
      <c r="P443" s="218"/>
      <c r="Q443" s="218"/>
      <c r="R443" s="218"/>
      <c r="S443" s="218"/>
      <c r="T443" s="218"/>
      <c r="U443" s="218"/>
      <c r="V443" s="218"/>
      <c r="W443" s="219"/>
      <c r="X443" s="219"/>
    </row>
    <row r="444" spans="1:24" s="220" customFormat="1" ht="15">
      <c r="A444" s="264"/>
      <c r="B444" s="265"/>
      <c r="C444" s="265"/>
      <c r="D444" s="265"/>
      <c r="E444" s="265"/>
      <c r="F444" s="218"/>
      <c r="G444" s="218"/>
      <c r="H444" s="218"/>
      <c r="I444" s="218"/>
      <c r="J444" s="218"/>
      <c r="K444" s="218"/>
      <c r="L444" s="218"/>
      <c r="M444" s="218"/>
      <c r="N444" s="218"/>
      <c r="O444" s="218"/>
      <c r="P444" s="218"/>
      <c r="Q444" s="218"/>
      <c r="R444" s="218"/>
      <c r="S444" s="218"/>
      <c r="T444" s="218"/>
      <c r="U444" s="218"/>
      <c r="V444" s="218"/>
      <c r="W444" s="219"/>
      <c r="X444" s="219"/>
    </row>
    <row r="445" spans="1:24" s="220" customFormat="1" ht="15">
      <c r="A445" s="264"/>
      <c r="B445" s="265"/>
      <c r="C445" s="265"/>
      <c r="D445" s="265"/>
      <c r="E445" s="265"/>
      <c r="F445" s="218"/>
      <c r="G445" s="218"/>
      <c r="H445" s="218"/>
      <c r="I445" s="218"/>
      <c r="J445" s="218"/>
      <c r="K445" s="218"/>
      <c r="L445" s="218"/>
      <c r="M445" s="218"/>
      <c r="N445" s="218"/>
      <c r="O445" s="218"/>
      <c r="P445" s="218"/>
      <c r="Q445" s="218"/>
      <c r="R445" s="218"/>
      <c r="S445" s="218"/>
      <c r="T445" s="218"/>
      <c r="U445" s="218"/>
      <c r="V445" s="218"/>
      <c r="W445" s="219"/>
      <c r="X445" s="219"/>
    </row>
    <row r="446" spans="1:24" s="220" customFormat="1" ht="15">
      <c r="A446" s="264"/>
      <c r="B446" s="265"/>
      <c r="C446" s="265"/>
      <c r="D446" s="265"/>
      <c r="E446" s="265"/>
      <c r="F446" s="218"/>
      <c r="G446" s="218"/>
      <c r="H446" s="218"/>
      <c r="I446" s="218"/>
      <c r="J446" s="218"/>
      <c r="K446" s="218"/>
      <c r="L446" s="218"/>
      <c r="M446" s="218"/>
      <c r="N446" s="218"/>
      <c r="O446" s="218"/>
      <c r="P446" s="218"/>
      <c r="Q446" s="218"/>
      <c r="R446" s="218"/>
      <c r="S446" s="218"/>
      <c r="T446" s="218"/>
      <c r="U446" s="218"/>
      <c r="V446" s="218"/>
      <c r="W446" s="219"/>
      <c r="X446" s="219"/>
    </row>
    <row r="447" spans="1:24" s="220" customFormat="1" ht="15">
      <c r="A447" s="264"/>
      <c r="B447" s="265"/>
      <c r="C447" s="265"/>
      <c r="D447" s="265"/>
      <c r="E447" s="265"/>
      <c r="F447" s="218"/>
      <c r="G447" s="218"/>
      <c r="H447" s="218"/>
      <c r="I447" s="218"/>
      <c r="J447" s="218"/>
      <c r="K447" s="218"/>
      <c r="L447" s="218"/>
      <c r="M447" s="218"/>
      <c r="N447" s="218"/>
      <c r="O447" s="218"/>
      <c r="P447" s="218"/>
      <c r="Q447" s="218"/>
      <c r="R447" s="218"/>
      <c r="S447" s="218"/>
      <c r="T447" s="218"/>
      <c r="U447" s="218"/>
      <c r="V447" s="218"/>
      <c r="W447" s="219"/>
      <c r="X447" s="219"/>
    </row>
    <row r="448" spans="1:24" s="220" customFormat="1" ht="15">
      <c r="A448" s="264"/>
      <c r="B448" s="265"/>
      <c r="C448" s="265"/>
      <c r="D448" s="265"/>
      <c r="E448" s="265"/>
      <c r="F448" s="218"/>
      <c r="G448" s="218"/>
      <c r="H448" s="218"/>
      <c r="I448" s="218"/>
      <c r="J448" s="218"/>
      <c r="K448" s="218"/>
      <c r="L448" s="218"/>
      <c r="M448" s="218"/>
      <c r="N448" s="218"/>
      <c r="O448" s="218"/>
      <c r="P448" s="218"/>
      <c r="Q448" s="218"/>
      <c r="R448" s="218"/>
      <c r="S448" s="218"/>
      <c r="T448" s="218"/>
      <c r="U448" s="218"/>
      <c r="V448" s="218"/>
      <c r="W448" s="219"/>
      <c r="X448" s="219"/>
    </row>
    <row r="449" spans="1:24" s="220" customFormat="1" ht="15">
      <c r="A449" s="264"/>
      <c r="B449" s="265"/>
      <c r="C449" s="265"/>
      <c r="D449" s="265"/>
      <c r="E449" s="265"/>
      <c r="F449" s="218"/>
      <c r="G449" s="218"/>
      <c r="H449" s="218"/>
      <c r="I449" s="218"/>
      <c r="J449" s="218"/>
      <c r="K449" s="218"/>
      <c r="L449" s="218"/>
      <c r="M449" s="218"/>
      <c r="N449" s="218"/>
      <c r="O449" s="218"/>
      <c r="P449" s="218"/>
      <c r="Q449" s="218"/>
      <c r="R449" s="218"/>
      <c r="S449" s="218"/>
      <c r="T449" s="218"/>
      <c r="U449" s="218"/>
      <c r="V449" s="218"/>
      <c r="W449" s="219"/>
      <c r="X449" s="219"/>
    </row>
    <row r="450" spans="1:24" s="220" customFormat="1" ht="15">
      <c r="A450" s="264"/>
      <c r="B450" s="265"/>
      <c r="C450" s="265"/>
      <c r="D450" s="265"/>
      <c r="E450" s="265"/>
      <c r="F450" s="218"/>
      <c r="G450" s="218"/>
      <c r="H450" s="218"/>
      <c r="I450" s="218"/>
      <c r="J450" s="218"/>
      <c r="K450" s="218"/>
      <c r="L450" s="218"/>
      <c r="M450" s="218"/>
      <c r="N450" s="218"/>
      <c r="O450" s="218"/>
      <c r="P450" s="218"/>
      <c r="Q450" s="218"/>
      <c r="R450" s="218"/>
      <c r="S450" s="218"/>
      <c r="T450" s="218"/>
      <c r="U450" s="218"/>
      <c r="V450" s="218"/>
      <c r="W450" s="219"/>
      <c r="X450" s="219"/>
    </row>
    <row r="451" spans="1:24" s="220" customFormat="1" ht="15">
      <c r="A451" s="264"/>
      <c r="B451" s="265"/>
      <c r="C451" s="265"/>
      <c r="D451" s="265"/>
      <c r="E451" s="265"/>
      <c r="F451" s="218"/>
      <c r="G451" s="218"/>
      <c r="H451" s="218"/>
      <c r="I451" s="218"/>
      <c r="J451" s="218"/>
      <c r="K451" s="218"/>
      <c r="L451" s="218"/>
      <c r="M451" s="218"/>
      <c r="N451" s="218"/>
      <c r="O451" s="218"/>
      <c r="P451" s="218"/>
      <c r="Q451" s="218"/>
      <c r="R451" s="218"/>
      <c r="S451" s="218"/>
      <c r="T451" s="218"/>
      <c r="U451" s="218"/>
      <c r="V451" s="218"/>
      <c r="W451" s="219"/>
      <c r="X451" s="219"/>
    </row>
    <row r="452" spans="1:24" s="220" customFormat="1" ht="15">
      <c r="A452" s="264"/>
      <c r="B452" s="265"/>
      <c r="C452" s="265"/>
      <c r="D452" s="265"/>
      <c r="E452" s="265"/>
      <c r="F452" s="218"/>
      <c r="G452" s="218"/>
      <c r="H452" s="218"/>
      <c r="I452" s="218"/>
      <c r="J452" s="218"/>
      <c r="K452" s="218"/>
      <c r="L452" s="218"/>
      <c r="M452" s="218"/>
      <c r="N452" s="218"/>
      <c r="O452" s="218"/>
      <c r="P452" s="218"/>
      <c r="Q452" s="218"/>
      <c r="R452" s="218"/>
      <c r="S452" s="218"/>
      <c r="T452" s="218"/>
      <c r="U452" s="218"/>
      <c r="V452" s="218"/>
      <c r="W452" s="219"/>
      <c r="X452" s="219"/>
    </row>
    <row r="453" spans="1:24" s="220" customFormat="1" ht="15">
      <c r="A453" s="264"/>
      <c r="B453" s="265"/>
      <c r="C453" s="265"/>
      <c r="D453" s="265"/>
      <c r="E453" s="265"/>
      <c r="F453" s="218"/>
      <c r="G453" s="218"/>
      <c r="H453" s="218"/>
      <c r="I453" s="218"/>
      <c r="J453" s="218"/>
      <c r="K453" s="218"/>
      <c r="L453" s="218"/>
      <c r="M453" s="218"/>
      <c r="N453" s="218"/>
      <c r="O453" s="218"/>
      <c r="P453" s="218"/>
      <c r="Q453" s="218"/>
      <c r="R453" s="218"/>
      <c r="S453" s="218"/>
      <c r="T453" s="218"/>
      <c r="U453" s="218"/>
      <c r="V453" s="218"/>
      <c r="W453" s="219"/>
      <c r="X453" s="219"/>
    </row>
    <row r="454" spans="1:24" s="220" customFormat="1" ht="15">
      <c r="A454" s="264"/>
      <c r="B454" s="265"/>
      <c r="C454" s="265"/>
      <c r="D454" s="265"/>
      <c r="E454" s="265"/>
      <c r="F454" s="218"/>
      <c r="G454" s="218"/>
      <c r="H454" s="218"/>
      <c r="I454" s="218"/>
      <c r="J454" s="218"/>
      <c r="K454" s="218"/>
      <c r="L454" s="218"/>
      <c r="M454" s="218"/>
      <c r="N454" s="218"/>
      <c r="O454" s="218"/>
      <c r="P454" s="218"/>
      <c r="Q454" s="218"/>
      <c r="R454" s="218"/>
      <c r="S454" s="218"/>
      <c r="T454" s="218"/>
      <c r="U454" s="218"/>
      <c r="V454" s="218"/>
      <c r="W454" s="219"/>
      <c r="X454" s="219"/>
    </row>
    <row r="455" spans="1:24" s="220" customFormat="1" ht="15">
      <c r="A455" s="264"/>
      <c r="B455" s="265"/>
      <c r="C455" s="265"/>
      <c r="D455" s="265"/>
      <c r="E455" s="265"/>
      <c r="F455" s="218"/>
      <c r="G455" s="218"/>
      <c r="H455" s="218"/>
      <c r="I455" s="218"/>
      <c r="J455" s="218"/>
      <c r="K455" s="218"/>
      <c r="L455" s="218"/>
      <c r="M455" s="218"/>
      <c r="N455" s="218"/>
      <c r="O455" s="218"/>
      <c r="P455" s="218"/>
      <c r="Q455" s="218"/>
      <c r="R455" s="218"/>
      <c r="S455" s="218"/>
      <c r="T455" s="218"/>
      <c r="U455" s="218"/>
      <c r="V455" s="218"/>
      <c r="W455" s="219"/>
      <c r="X455" s="219"/>
    </row>
    <row r="456" spans="1:24" s="220" customFormat="1" ht="15">
      <c r="A456" s="264"/>
      <c r="B456" s="265"/>
      <c r="C456" s="265"/>
      <c r="D456" s="265"/>
      <c r="E456" s="265"/>
      <c r="F456" s="218"/>
      <c r="G456" s="218"/>
      <c r="H456" s="218"/>
      <c r="I456" s="218"/>
      <c r="J456" s="218"/>
      <c r="K456" s="218"/>
      <c r="L456" s="218"/>
      <c r="M456" s="218"/>
      <c r="N456" s="218"/>
      <c r="O456" s="218"/>
      <c r="P456" s="218"/>
      <c r="Q456" s="218"/>
      <c r="R456" s="218"/>
      <c r="S456" s="218"/>
      <c r="T456" s="218"/>
      <c r="U456" s="218"/>
      <c r="V456" s="218"/>
      <c r="W456" s="219"/>
      <c r="X456" s="219"/>
    </row>
    <row r="457" spans="1:24" s="220" customFormat="1" ht="15">
      <c r="A457" s="264"/>
      <c r="B457" s="265"/>
      <c r="C457" s="265"/>
      <c r="D457" s="265"/>
      <c r="E457" s="265"/>
      <c r="F457" s="218"/>
      <c r="G457" s="218"/>
      <c r="H457" s="218"/>
      <c r="I457" s="218"/>
      <c r="J457" s="218"/>
      <c r="K457" s="218"/>
      <c r="L457" s="218"/>
      <c r="M457" s="218"/>
      <c r="N457" s="218"/>
      <c r="O457" s="218"/>
      <c r="P457" s="218"/>
      <c r="Q457" s="218"/>
      <c r="R457" s="218"/>
      <c r="S457" s="218"/>
      <c r="T457" s="218"/>
      <c r="U457" s="218"/>
      <c r="V457" s="218"/>
      <c r="W457" s="219"/>
      <c r="X457" s="219"/>
    </row>
    <row r="458" spans="1:24" s="220" customFormat="1" ht="15">
      <c r="A458" s="264"/>
      <c r="B458" s="265"/>
      <c r="C458" s="265"/>
      <c r="D458" s="265"/>
      <c r="E458" s="265"/>
      <c r="F458" s="218"/>
      <c r="G458" s="218"/>
      <c r="H458" s="218"/>
      <c r="I458" s="218"/>
      <c r="J458" s="218"/>
      <c r="K458" s="218"/>
      <c r="L458" s="218"/>
      <c r="M458" s="218"/>
      <c r="N458" s="218"/>
      <c r="O458" s="218"/>
      <c r="P458" s="218"/>
      <c r="Q458" s="218"/>
      <c r="R458" s="218"/>
      <c r="S458" s="218"/>
      <c r="T458" s="218"/>
      <c r="U458" s="218"/>
      <c r="V458" s="218"/>
      <c r="W458" s="219"/>
      <c r="X458" s="219"/>
    </row>
    <row r="459" spans="1:24" s="220" customFormat="1" ht="15">
      <c r="A459" s="264"/>
      <c r="B459" s="265"/>
      <c r="C459" s="265"/>
      <c r="D459" s="265"/>
      <c r="E459" s="265"/>
      <c r="F459" s="218"/>
      <c r="G459" s="218"/>
      <c r="H459" s="218"/>
      <c r="I459" s="218"/>
      <c r="J459" s="218"/>
      <c r="K459" s="218"/>
      <c r="L459" s="218"/>
      <c r="M459" s="218"/>
      <c r="N459" s="218"/>
      <c r="O459" s="218"/>
      <c r="P459" s="218"/>
      <c r="Q459" s="218"/>
      <c r="R459" s="218"/>
      <c r="S459" s="218"/>
      <c r="T459" s="218"/>
      <c r="U459" s="218"/>
      <c r="V459" s="218"/>
      <c r="W459" s="219"/>
      <c r="X459" s="219"/>
    </row>
    <row r="460" spans="1:24" s="220" customFormat="1" ht="15">
      <c r="A460" s="264"/>
      <c r="B460" s="265"/>
      <c r="C460" s="265"/>
      <c r="D460" s="265"/>
      <c r="E460" s="265"/>
      <c r="F460" s="218"/>
      <c r="G460" s="218"/>
      <c r="H460" s="218"/>
      <c r="I460" s="218"/>
      <c r="J460" s="218"/>
      <c r="K460" s="218"/>
      <c r="L460" s="218"/>
      <c r="M460" s="218"/>
      <c r="N460" s="218"/>
      <c r="O460" s="218"/>
      <c r="P460" s="218"/>
      <c r="Q460" s="218"/>
      <c r="R460" s="218"/>
      <c r="S460" s="218"/>
      <c r="T460" s="218"/>
      <c r="U460" s="218"/>
      <c r="V460" s="218"/>
      <c r="W460" s="219"/>
      <c r="X460" s="219"/>
    </row>
    <row r="461" spans="1:24" s="220" customFormat="1" ht="15">
      <c r="A461" s="264"/>
      <c r="B461" s="265"/>
      <c r="C461" s="265"/>
      <c r="D461" s="265"/>
      <c r="E461" s="265"/>
      <c r="F461" s="218"/>
      <c r="G461" s="218"/>
      <c r="H461" s="218"/>
      <c r="I461" s="218"/>
      <c r="J461" s="218"/>
      <c r="K461" s="218"/>
      <c r="L461" s="218"/>
      <c r="M461" s="218"/>
      <c r="N461" s="218"/>
      <c r="O461" s="218"/>
      <c r="P461" s="218"/>
      <c r="Q461" s="218"/>
      <c r="R461" s="218"/>
      <c r="S461" s="218"/>
      <c r="T461" s="218"/>
      <c r="U461" s="218"/>
      <c r="V461" s="218"/>
      <c r="W461" s="219"/>
      <c r="X461" s="219"/>
    </row>
    <row r="462" spans="1:24" s="220" customFormat="1" ht="15">
      <c r="A462" s="264"/>
      <c r="B462" s="265"/>
      <c r="C462" s="265"/>
      <c r="D462" s="265"/>
      <c r="E462" s="265"/>
      <c r="F462" s="218"/>
      <c r="G462" s="218"/>
      <c r="H462" s="218"/>
      <c r="I462" s="218"/>
      <c r="J462" s="218"/>
      <c r="K462" s="218"/>
      <c r="L462" s="218"/>
      <c r="M462" s="218"/>
      <c r="N462" s="218"/>
      <c r="O462" s="218"/>
      <c r="P462" s="218"/>
      <c r="Q462" s="218"/>
      <c r="R462" s="218"/>
      <c r="S462" s="218"/>
      <c r="T462" s="218"/>
      <c r="U462" s="218"/>
      <c r="V462" s="218"/>
      <c r="W462" s="219"/>
      <c r="X462" s="219"/>
    </row>
    <row r="463" spans="1:24" s="220" customFormat="1" ht="15">
      <c r="A463" s="264"/>
      <c r="B463" s="265"/>
      <c r="C463" s="265"/>
      <c r="D463" s="265"/>
      <c r="E463" s="265"/>
      <c r="F463" s="218"/>
      <c r="G463" s="218"/>
      <c r="H463" s="218"/>
      <c r="I463" s="218"/>
      <c r="J463" s="218"/>
      <c r="K463" s="218"/>
      <c r="L463" s="218"/>
      <c r="M463" s="218"/>
      <c r="N463" s="218"/>
      <c r="O463" s="218"/>
      <c r="P463" s="218"/>
      <c r="Q463" s="218"/>
      <c r="R463" s="218"/>
      <c r="S463" s="218"/>
      <c r="T463" s="218"/>
      <c r="U463" s="218"/>
      <c r="V463" s="218"/>
      <c r="W463" s="219"/>
      <c r="X463" s="219"/>
    </row>
    <row r="464" spans="1:24" s="220" customFormat="1" ht="15">
      <c r="A464" s="264"/>
      <c r="B464" s="265"/>
      <c r="C464" s="265"/>
      <c r="D464" s="265"/>
      <c r="E464" s="265"/>
      <c r="F464" s="218"/>
      <c r="G464" s="218"/>
      <c r="H464" s="218"/>
      <c r="I464" s="218"/>
      <c r="J464" s="218"/>
      <c r="K464" s="218"/>
      <c r="L464" s="218"/>
      <c r="M464" s="218"/>
      <c r="N464" s="218"/>
      <c r="O464" s="218"/>
      <c r="P464" s="218"/>
      <c r="Q464" s="218"/>
      <c r="R464" s="218"/>
      <c r="S464" s="218"/>
      <c r="T464" s="218"/>
      <c r="U464" s="218"/>
      <c r="V464" s="218"/>
      <c r="W464" s="219"/>
      <c r="X464" s="219"/>
    </row>
    <row r="465" spans="1:24" s="220" customFormat="1" ht="15">
      <c r="A465" s="264"/>
      <c r="B465" s="265"/>
      <c r="C465" s="265"/>
      <c r="D465" s="265"/>
      <c r="E465" s="265"/>
      <c r="F465" s="218"/>
      <c r="G465" s="218"/>
      <c r="H465" s="218"/>
      <c r="I465" s="218"/>
      <c r="J465" s="218"/>
      <c r="K465" s="218"/>
      <c r="L465" s="218"/>
      <c r="M465" s="218"/>
      <c r="N465" s="218"/>
      <c r="O465" s="218"/>
      <c r="P465" s="218"/>
      <c r="Q465" s="218"/>
      <c r="R465" s="218"/>
      <c r="S465" s="218"/>
      <c r="T465" s="218"/>
      <c r="U465" s="218"/>
      <c r="V465" s="218"/>
      <c r="W465" s="219"/>
      <c r="X465" s="219"/>
    </row>
    <row r="466" spans="1:24" s="220" customFormat="1" ht="15">
      <c r="A466" s="264"/>
      <c r="B466" s="265"/>
      <c r="C466" s="265"/>
      <c r="D466" s="265"/>
      <c r="E466" s="265"/>
      <c r="F466" s="218"/>
      <c r="G466" s="218"/>
      <c r="H466" s="218"/>
      <c r="I466" s="218"/>
      <c r="J466" s="218"/>
      <c r="K466" s="218"/>
      <c r="L466" s="218"/>
      <c r="M466" s="218"/>
      <c r="N466" s="218"/>
      <c r="O466" s="218"/>
      <c r="P466" s="218"/>
      <c r="Q466" s="218"/>
      <c r="R466" s="218"/>
      <c r="S466" s="218"/>
      <c r="T466" s="218"/>
      <c r="U466" s="218"/>
      <c r="V466" s="218"/>
      <c r="W466" s="219"/>
      <c r="X466" s="219"/>
    </row>
    <row r="467" spans="1:24" s="220" customFormat="1" ht="15">
      <c r="A467" s="264"/>
      <c r="B467" s="265"/>
      <c r="C467" s="265"/>
      <c r="D467" s="265"/>
      <c r="E467" s="265"/>
      <c r="F467" s="218"/>
      <c r="G467" s="218"/>
      <c r="H467" s="218"/>
      <c r="I467" s="218"/>
      <c r="J467" s="218"/>
      <c r="K467" s="218"/>
      <c r="L467" s="218"/>
      <c r="M467" s="218"/>
      <c r="N467" s="218"/>
      <c r="O467" s="218"/>
      <c r="P467" s="218"/>
      <c r="Q467" s="218"/>
      <c r="R467" s="218"/>
      <c r="S467" s="218"/>
      <c r="T467" s="218"/>
      <c r="U467" s="218"/>
      <c r="V467" s="218"/>
      <c r="W467" s="219"/>
      <c r="X467" s="219"/>
    </row>
    <row r="468" spans="1:24" s="220" customFormat="1" ht="15">
      <c r="A468" s="264"/>
      <c r="B468" s="265"/>
      <c r="C468" s="265"/>
      <c r="D468" s="265"/>
      <c r="E468" s="265"/>
      <c r="F468" s="218"/>
      <c r="G468" s="218"/>
      <c r="H468" s="218"/>
      <c r="I468" s="218"/>
      <c r="J468" s="218"/>
      <c r="K468" s="218"/>
      <c r="L468" s="218"/>
      <c r="M468" s="218"/>
      <c r="N468" s="218"/>
      <c r="O468" s="218"/>
      <c r="P468" s="218"/>
      <c r="Q468" s="218"/>
      <c r="R468" s="218"/>
      <c r="S468" s="218"/>
      <c r="T468" s="218"/>
      <c r="U468" s="218"/>
      <c r="V468" s="218"/>
      <c r="W468" s="219"/>
      <c r="X468" s="219"/>
    </row>
    <row r="469" spans="1:24" s="220" customFormat="1" ht="15">
      <c r="A469" s="264"/>
      <c r="B469" s="265"/>
      <c r="C469" s="265"/>
      <c r="D469" s="265"/>
      <c r="E469" s="265"/>
      <c r="F469" s="218"/>
      <c r="G469" s="218"/>
      <c r="H469" s="218"/>
      <c r="I469" s="218"/>
      <c r="J469" s="218"/>
      <c r="K469" s="218"/>
      <c r="L469" s="218"/>
      <c r="M469" s="218"/>
      <c r="N469" s="218"/>
      <c r="O469" s="218"/>
      <c r="P469" s="218"/>
      <c r="Q469" s="218"/>
      <c r="R469" s="218"/>
      <c r="S469" s="218"/>
      <c r="T469" s="218"/>
      <c r="U469" s="218"/>
      <c r="V469" s="218"/>
      <c r="W469" s="219"/>
      <c r="X469" s="219"/>
    </row>
    <row r="470" spans="1:24" s="220" customFormat="1" ht="15">
      <c r="A470" s="264"/>
      <c r="B470" s="265"/>
      <c r="C470" s="265"/>
      <c r="D470" s="265"/>
      <c r="E470" s="265"/>
      <c r="F470" s="218"/>
      <c r="G470" s="218"/>
      <c r="H470" s="218"/>
      <c r="I470" s="218"/>
      <c r="J470" s="218"/>
      <c r="K470" s="218"/>
      <c r="L470" s="218"/>
      <c r="M470" s="218"/>
      <c r="N470" s="218"/>
      <c r="O470" s="218"/>
      <c r="P470" s="218"/>
      <c r="Q470" s="218"/>
      <c r="R470" s="218"/>
      <c r="S470" s="218"/>
      <c r="T470" s="218"/>
      <c r="U470" s="218"/>
      <c r="V470" s="218"/>
      <c r="W470" s="219"/>
      <c r="X470" s="219"/>
    </row>
    <row r="471" spans="1:24" s="220" customFormat="1" ht="15">
      <c r="A471" s="264"/>
      <c r="B471" s="265"/>
      <c r="C471" s="265"/>
      <c r="D471" s="265"/>
      <c r="E471" s="265"/>
      <c r="F471" s="218"/>
      <c r="G471" s="218"/>
      <c r="H471" s="218"/>
      <c r="I471" s="218"/>
      <c r="J471" s="218"/>
      <c r="K471" s="218"/>
      <c r="L471" s="218"/>
      <c r="M471" s="218"/>
      <c r="N471" s="218"/>
      <c r="O471" s="218"/>
      <c r="P471" s="218"/>
      <c r="Q471" s="218"/>
      <c r="R471" s="218"/>
      <c r="S471" s="218"/>
      <c r="T471" s="218"/>
      <c r="U471" s="218"/>
      <c r="V471" s="218"/>
      <c r="W471" s="219"/>
      <c r="X471" s="219"/>
    </row>
    <row r="472" spans="1:24" s="220" customFormat="1" ht="15">
      <c r="A472" s="264"/>
      <c r="B472" s="265"/>
      <c r="C472" s="265"/>
      <c r="D472" s="265"/>
      <c r="E472" s="265"/>
      <c r="F472" s="218"/>
      <c r="G472" s="218"/>
      <c r="H472" s="218"/>
      <c r="I472" s="218"/>
      <c r="J472" s="218"/>
      <c r="K472" s="218"/>
      <c r="L472" s="218"/>
      <c r="M472" s="218"/>
      <c r="N472" s="218"/>
      <c r="O472" s="218"/>
      <c r="P472" s="218"/>
      <c r="Q472" s="218"/>
      <c r="R472" s="218"/>
      <c r="S472" s="218"/>
      <c r="T472" s="218"/>
      <c r="U472" s="218"/>
      <c r="V472" s="218"/>
      <c r="W472" s="219"/>
      <c r="X472" s="219"/>
    </row>
    <row r="473" spans="1:24" s="220" customFormat="1" ht="15">
      <c r="A473" s="264"/>
      <c r="B473" s="265"/>
      <c r="C473" s="265"/>
      <c r="D473" s="265"/>
      <c r="E473" s="265"/>
      <c r="F473" s="218"/>
      <c r="G473" s="218"/>
      <c r="H473" s="218"/>
      <c r="I473" s="218"/>
      <c r="J473" s="218"/>
      <c r="K473" s="218"/>
      <c r="L473" s="218"/>
      <c r="M473" s="218"/>
      <c r="N473" s="218"/>
      <c r="O473" s="218"/>
      <c r="P473" s="218"/>
      <c r="Q473" s="218"/>
      <c r="R473" s="218"/>
      <c r="S473" s="218"/>
      <c r="T473" s="218"/>
      <c r="U473" s="218"/>
      <c r="V473" s="218"/>
      <c r="W473" s="219"/>
      <c r="X473" s="219"/>
    </row>
    <row r="474" spans="1:24" s="220" customFormat="1" ht="15">
      <c r="A474" s="264"/>
      <c r="B474" s="265"/>
      <c r="C474" s="265"/>
      <c r="D474" s="265"/>
      <c r="E474" s="265"/>
      <c r="F474" s="218"/>
      <c r="G474" s="218"/>
      <c r="H474" s="218"/>
      <c r="I474" s="218"/>
      <c r="J474" s="218"/>
      <c r="K474" s="218"/>
      <c r="L474" s="218"/>
      <c r="M474" s="218"/>
      <c r="N474" s="218"/>
      <c r="O474" s="218"/>
      <c r="P474" s="218"/>
      <c r="Q474" s="218"/>
      <c r="R474" s="218"/>
      <c r="S474" s="218"/>
      <c r="T474" s="218"/>
      <c r="U474" s="218"/>
      <c r="V474" s="218"/>
      <c r="W474" s="219"/>
      <c r="X474" s="219"/>
    </row>
    <row r="475" spans="1:24" s="220" customFormat="1" ht="15">
      <c r="A475" s="264"/>
      <c r="B475" s="265"/>
      <c r="C475" s="265"/>
      <c r="D475" s="265"/>
      <c r="E475" s="265"/>
      <c r="F475" s="218"/>
      <c r="G475" s="218"/>
      <c r="H475" s="218"/>
      <c r="I475" s="218"/>
      <c r="J475" s="218"/>
      <c r="K475" s="218"/>
      <c r="L475" s="218"/>
      <c r="M475" s="218"/>
      <c r="N475" s="218"/>
      <c r="O475" s="218"/>
      <c r="P475" s="218"/>
      <c r="Q475" s="218"/>
      <c r="R475" s="218"/>
      <c r="S475" s="218"/>
      <c r="T475" s="218"/>
      <c r="U475" s="218"/>
      <c r="V475" s="218"/>
      <c r="W475" s="219"/>
      <c r="X475" s="219"/>
    </row>
    <row r="476" spans="1:24" s="220" customFormat="1" ht="15">
      <c r="A476" s="264"/>
      <c r="B476" s="265"/>
      <c r="C476" s="265"/>
      <c r="D476" s="265"/>
      <c r="E476" s="265"/>
      <c r="F476" s="218"/>
      <c r="G476" s="218"/>
      <c r="H476" s="218"/>
      <c r="I476" s="218"/>
      <c r="J476" s="218"/>
      <c r="K476" s="218"/>
      <c r="L476" s="218"/>
      <c r="M476" s="218"/>
      <c r="N476" s="218"/>
      <c r="O476" s="218"/>
      <c r="P476" s="218"/>
      <c r="Q476" s="218"/>
      <c r="R476" s="218"/>
      <c r="S476" s="218"/>
      <c r="T476" s="218"/>
      <c r="U476" s="218"/>
      <c r="V476" s="218"/>
      <c r="W476" s="219"/>
      <c r="X476" s="219"/>
    </row>
    <row r="477" spans="1:24" s="220" customFormat="1" ht="15">
      <c r="A477" s="264"/>
      <c r="B477" s="265"/>
      <c r="C477" s="265"/>
      <c r="D477" s="265"/>
      <c r="E477" s="265"/>
      <c r="F477" s="218"/>
      <c r="G477" s="218"/>
      <c r="H477" s="218"/>
      <c r="I477" s="218"/>
      <c r="J477" s="218"/>
      <c r="K477" s="218"/>
      <c r="L477" s="218"/>
      <c r="M477" s="218"/>
      <c r="N477" s="218"/>
      <c r="O477" s="218"/>
      <c r="P477" s="218"/>
      <c r="Q477" s="218"/>
      <c r="R477" s="218"/>
      <c r="S477" s="218"/>
      <c r="T477" s="218"/>
      <c r="U477" s="218"/>
      <c r="V477" s="218"/>
      <c r="W477" s="219"/>
      <c r="X477" s="219"/>
    </row>
    <row r="478" spans="1:24" s="220" customFormat="1" ht="15">
      <c r="A478" s="264"/>
      <c r="B478" s="265"/>
      <c r="C478" s="265"/>
      <c r="D478" s="265"/>
      <c r="E478" s="265"/>
      <c r="F478" s="218"/>
      <c r="G478" s="218"/>
      <c r="H478" s="218"/>
      <c r="I478" s="218"/>
      <c r="J478" s="218"/>
      <c r="K478" s="218"/>
      <c r="L478" s="218"/>
      <c r="M478" s="218"/>
      <c r="N478" s="218"/>
      <c r="O478" s="218"/>
      <c r="P478" s="218"/>
      <c r="Q478" s="218"/>
      <c r="R478" s="218"/>
      <c r="S478" s="218"/>
      <c r="T478" s="218"/>
      <c r="U478" s="218"/>
      <c r="V478" s="218"/>
      <c r="W478" s="219"/>
      <c r="X478" s="219"/>
    </row>
    <row r="479" spans="1:24" s="220" customFormat="1" ht="15">
      <c r="A479" s="264"/>
      <c r="B479" s="265"/>
      <c r="C479" s="265"/>
      <c r="D479" s="265"/>
      <c r="E479" s="265"/>
      <c r="F479" s="218"/>
      <c r="G479" s="218"/>
      <c r="H479" s="218"/>
      <c r="I479" s="218"/>
      <c r="J479" s="218"/>
      <c r="K479" s="218"/>
      <c r="L479" s="218"/>
      <c r="M479" s="218"/>
      <c r="N479" s="218"/>
      <c r="O479" s="218"/>
      <c r="P479" s="218"/>
      <c r="Q479" s="218"/>
      <c r="R479" s="218"/>
      <c r="S479" s="218"/>
      <c r="T479" s="218"/>
      <c r="U479" s="218"/>
      <c r="V479" s="218"/>
      <c r="W479" s="219"/>
      <c r="X479" s="219"/>
    </row>
    <row r="480" spans="1:24" s="220" customFormat="1" ht="15">
      <c r="A480" s="264"/>
      <c r="B480" s="265"/>
      <c r="C480" s="265"/>
      <c r="D480" s="265"/>
      <c r="E480" s="265"/>
      <c r="F480" s="218"/>
      <c r="G480" s="218"/>
      <c r="H480" s="218"/>
      <c r="I480" s="218"/>
      <c r="J480" s="218"/>
      <c r="K480" s="218"/>
      <c r="L480" s="218"/>
      <c r="M480" s="218"/>
      <c r="N480" s="218"/>
      <c r="O480" s="218"/>
      <c r="P480" s="218"/>
      <c r="Q480" s="218"/>
      <c r="R480" s="218"/>
      <c r="S480" s="218"/>
      <c r="T480" s="218"/>
      <c r="U480" s="218"/>
      <c r="V480" s="218"/>
      <c r="W480" s="219"/>
      <c r="X480" s="219"/>
    </row>
    <row r="481" spans="1:24" s="220" customFormat="1" ht="15">
      <c r="A481" s="264"/>
      <c r="B481" s="265"/>
      <c r="C481" s="265"/>
      <c r="D481" s="265"/>
      <c r="E481" s="265"/>
      <c r="F481" s="218"/>
      <c r="G481" s="218"/>
      <c r="H481" s="218"/>
      <c r="I481" s="218"/>
      <c r="J481" s="218"/>
      <c r="K481" s="218"/>
      <c r="L481" s="218"/>
      <c r="M481" s="218"/>
      <c r="N481" s="218"/>
      <c r="O481" s="218"/>
      <c r="P481" s="218"/>
      <c r="Q481" s="218"/>
      <c r="R481" s="218"/>
      <c r="S481" s="218"/>
      <c r="T481" s="218"/>
      <c r="U481" s="218"/>
      <c r="V481" s="218"/>
      <c r="W481" s="219"/>
      <c r="X481" s="219"/>
    </row>
    <row r="482" spans="1:24" s="220" customFormat="1" ht="15">
      <c r="A482" s="223"/>
      <c r="B482" s="222"/>
      <c r="C482" s="222"/>
      <c r="D482" s="222"/>
      <c r="E482" s="222"/>
      <c r="F482" s="218"/>
      <c r="G482" s="218"/>
      <c r="H482" s="218"/>
      <c r="I482" s="218"/>
      <c r="J482" s="218"/>
      <c r="K482" s="218"/>
      <c r="L482" s="218"/>
      <c r="M482" s="218"/>
      <c r="N482" s="218"/>
      <c r="O482" s="218"/>
      <c r="P482" s="218"/>
      <c r="Q482" s="218"/>
      <c r="R482" s="218"/>
      <c r="S482" s="218"/>
      <c r="T482" s="218"/>
      <c r="U482" s="218"/>
      <c r="V482" s="218"/>
      <c r="W482" s="219"/>
      <c r="X482" s="219"/>
    </row>
    <row r="483" spans="1:24" s="220" customFormat="1" ht="15">
      <c r="A483" s="223"/>
      <c r="B483" s="222"/>
      <c r="C483" s="222"/>
      <c r="D483" s="222"/>
      <c r="E483" s="222"/>
      <c r="F483" s="218"/>
      <c r="G483" s="218"/>
      <c r="H483" s="218"/>
      <c r="I483" s="218"/>
      <c r="J483" s="218"/>
      <c r="K483" s="218"/>
      <c r="L483" s="218"/>
      <c r="M483" s="218"/>
      <c r="N483" s="218"/>
      <c r="O483" s="218"/>
      <c r="P483" s="218"/>
      <c r="Q483" s="218"/>
      <c r="R483" s="218"/>
      <c r="S483" s="218"/>
      <c r="T483" s="218"/>
      <c r="U483" s="218"/>
      <c r="V483" s="218"/>
      <c r="W483" s="219"/>
      <c r="X483" s="219"/>
    </row>
    <row r="484" spans="1:24" s="220" customFormat="1" ht="15">
      <c r="A484" s="223"/>
      <c r="B484" s="222"/>
      <c r="C484" s="222"/>
      <c r="D484" s="222"/>
      <c r="E484" s="222"/>
      <c r="F484" s="218"/>
      <c r="G484" s="218"/>
      <c r="H484" s="218"/>
      <c r="I484" s="218"/>
      <c r="J484" s="218"/>
      <c r="K484" s="218"/>
      <c r="L484" s="218"/>
      <c r="M484" s="218"/>
      <c r="N484" s="218"/>
      <c r="O484" s="218"/>
      <c r="P484" s="218"/>
      <c r="Q484" s="218"/>
      <c r="R484" s="218"/>
      <c r="S484" s="218"/>
      <c r="T484" s="218"/>
      <c r="U484" s="218"/>
      <c r="V484" s="218"/>
      <c r="W484" s="219"/>
      <c r="X484" s="219"/>
    </row>
    <row r="485" spans="1:24" s="220" customFormat="1" ht="15">
      <c r="A485" s="223"/>
      <c r="B485" s="222"/>
      <c r="C485" s="222"/>
      <c r="D485" s="222"/>
      <c r="E485" s="222"/>
      <c r="F485" s="218"/>
      <c r="G485" s="218"/>
      <c r="H485" s="218"/>
      <c r="I485" s="218"/>
      <c r="J485" s="218"/>
      <c r="K485" s="218"/>
      <c r="L485" s="218"/>
      <c r="M485" s="218"/>
      <c r="N485" s="218"/>
      <c r="O485" s="218"/>
      <c r="P485" s="218"/>
      <c r="Q485" s="218"/>
      <c r="R485" s="218"/>
      <c r="S485" s="218"/>
      <c r="T485" s="218"/>
      <c r="U485" s="218"/>
      <c r="V485" s="218"/>
      <c r="W485" s="219"/>
      <c r="X485" s="219"/>
    </row>
    <row r="486" spans="1:24" s="220" customFormat="1" ht="15">
      <c r="A486" s="223"/>
      <c r="B486" s="222"/>
      <c r="C486" s="222"/>
      <c r="D486" s="222"/>
      <c r="E486" s="222"/>
      <c r="F486" s="218"/>
      <c r="G486" s="218"/>
      <c r="H486" s="218"/>
      <c r="I486" s="218"/>
      <c r="J486" s="218"/>
      <c r="K486" s="218"/>
      <c r="L486" s="218"/>
      <c r="M486" s="218"/>
      <c r="N486" s="218"/>
      <c r="O486" s="218"/>
      <c r="P486" s="218"/>
      <c r="Q486" s="218"/>
      <c r="R486" s="218"/>
      <c r="S486" s="218"/>
      <c r="T486" s="218"/>
      <c r="U486" s="218"/>
      <c r="V486" s="218"/>
      <c r="W486" s="219"/>
      <c r="X486" s="219"/>
    </row>
    <row r="487" spans="1:24" s="220" customFormat="1" ht="15">
      <c r="A487" s="223"/>
      <c r="B487" s="222"/>
      <c r="C487" s="222"/>
      <c r="D487" s="222"/>
      <c r="E487" s="222"/>
      <c r="F487" s="218"/>
      <c r="G487" s="218"/>
      <c r="H487" s="218"/>
      <c r="I487" s="218"/>
      <c r="J487" s="218"/>
      <c r="K487" s="218"/>
      <c r="L487" s="218"/>
      <c r="M487" s="218"/>
      <c r="N487" s="218"/>
      <c r="O487" s="218"/>
      <c r="P487" s="218"/>
      <c r="Q487" s="218"/>
      <c r="R487" s="218"/>
      <c r="S487" s="218"/>
      <c r="T487" s="218"/>
      <c r="U487" s="218"/>
      <c r="V487" s="218"/>
      <c r="W487" s="219"/>
      <c r="X487" s="219"/>
    </row>
    <row r="488" spans="1:24" s="220" customFormat="1" ht="15">
      <c r="A488" s="223"/>
      <c r="B488" s="222"/>
      <c r="C488" s="222"/>
      <c r="D488" s="222"/>
      <c r="E488" s="222"/>
      <c r="F488" s="218"/>
      <c r="G488" s="218"/>
      <c r="H488" s="218"/>
      <c r="I488" s="218"/>
      <c r="J488" s="218"/>
      <c r="K488" s="218"/>
      <c r="L488" s="218"/>
      <c r="M488" s="218"/>
      <c r="N488" s="218"/>
      <c r="O488" s="218"/>
      <c r="P488" s="218"/>
      <c r="Q488" s="218"/>
      <c r="R488" s="218"/>
      <c r="S488" s="218"/>
      <c r="T488" s="218"/>
      <c r="U488" s="218"/>
      <c r="V488" s="218"/>
      <c r="W488" s="219"/>
      <c r="X488" s="219"/>
    </row>
    <row r="489" spans="1:24" s="220" customFormat="1" ht="15">
      <c r="A489" s="223"/>
      <c r="B489" s="222"/>
      <c r="C489" s="222"/>
      <c r="D489" s="222"/>
      <c r="E489" s="222"/>
      <c r="F489" s="218"/>
      <c r="G489" s="218"/>
      <c r="H489" s="218"/>
      <c r="I489" s="218"/>
      <c r="J489" s="218"/>
      <c r="K489" s="218"/>
      <c r="L489" s="218"/>
      <c r="M489" s="218"/>
      <c r="N489" s="218"/>
      <c r="O489" s="218"/>
      <c r="P489" s="218"/>
      <c r="Q489" s="218"/>
      <c r="R489" s="218"/>
      <c r="S489" s="218"/>
      <c r="T489" s="218"/>
      <c r="U489" s="218"/>
      <c r="V489" s="218"/>
      <c r="W489" s="219"/>
      <c r="X489" s="219"/>
    </row>
    <row r="490" spans="1:24" s="220" customFormat="1" ht="15">
      <c r="A490" s="223"/>
      <c r="B490" s="222"/>
      <c r="C490" s="222"/>
      <c r="D490" s="222"/>
      <c r="E490" s="222"/>
      <c r="F490" s="218"/>
      <c r="G490" s="218"/>
      <c r="H490" s="218"/>
      <c r="I490" s="218"/>
      <c r="J490" s="218"/>
      <c r="K490" s="218"/>
      <c r="L490" s="218"/>
      <c r="M490" s="218"/>
      <c r="N490" s="218"/>
      <c r="O490" s="218"/>
      <c r="P490" s="218"/>
      <c r="Q490" s="218"/>
      <c r="R490" s="218"/>
      <c r="S490" s="218"/>
      <c r="T490" s="218"/>
      <c r="U490" s="218"/>
      <c r="V490" s="218"/>
      <c r="W490" s="219"/>
      <c r="X490" s="219"/>
    </row>
    <row r="491" spans="1:24" s="220" customFormat="1" ht="15">
      <c r="A491" s="223"/>
      <c r="B491" s="222"/>
      <c r="C491" s="222"/>
      <c r="D491" s="222"/>
      <c r="E491" s="222"/>
      <c r="F491" s="218"/>
      <c r="G491" s="218"/>
      <c r="H491" s="218"/>
      <c r="I491" s="218"/>
      <c r="J491" s="218"/>
      <c r="K491" s="218"/>
      <c r="L491" s="218"/>
      <c r="M491" s="218"/>
      <c r="N491" s="218"/>
      <c r="O491" s="218"/>
      <c r="P491" s="218"/>
      <c r="Q491" s="218"/>
      <c r="R491" s="218"/>
      <c r="S491" s="218"/>
      <c r="T491" s="218"/>
      <c r="U491" s="218"/>
      <c r="V491" s="218"/>
      <c r="W491" s="219"/>
      <c r="X491" s="219"/>
    </row>
    <row r="492" spans="1:24" s="220" customFormat="1" ht="15">
      <c r="A492" s="223"/>
      <c r="B492" s="222"/>
      <c r="C492" s="222"/>
      <c r="D492" s="222"/>
      <c r="E492" s="222"/>
      <c r="F492" s="218"/>
      <c r="G492" s="218"/>
      <c r="H492" s="218"/>
      <c r="I492" s="218"/>
      <c r="J492" s="218"/>
      <c r="K492" s="218"/>
      <c r="L492" s="218"/>
      <c r="M492" s="218"/>
      <c r="N492" s="218"/>
      <c r="O492" s="218"/>
      <c r="P492" s="218"/>
      <c r="Q492" s="218"/>
      <c r="R492" s="218"/>
      <c r="S492" s="218"/>
      <c r="T492" s="218"/>
      <c r="U492" s="218"/>
      <c r="V492" s="218"/>
      <c r="W492" s="219"/>
      <c r="X492" s="219"/>
    </row>
    <row r="493" spans="1:24" s="220" customFormat="1" ht="15">
      <c r="A493" s="223"/>
      <c r="B493" s="222"/>
      <c r="C493" s="222"/>
      <c r="D493" s="222"/>
      <c r="E493" s="222"/>
      <c r="F493" s="218"/>
      <c r="G493" s="218"/>
      <c r="H493" s="218"/>
      <c r="I493" s="218"/>
      <c r="J493" s="218"/>
      <c r="K493" s="218"/>
      <c r="L493" s="218"/>
      <c r="M493" s="218"/>
      <c r="N493" s="218"/>
      <c r="O493" s="218"/>
      <c r="P493" s="218"/>
      <c r="Q493" s="218"/>
      <c r="R493" s="218"/>
      <c r="S493" s="218"/>
      <c r="T493" s="218"/>
      <c r="U493" s="218"/>
      <c r="V493" s="218"/>
      <c r="W493" s="219"/>
      <c r="X493" s="219"/>
    </row>
    <row r="494" spans="1:24" s="220" customFormat="1" ht="15">
      <c r="A494" s="223"/>
      <c r="B494" s="222"/>
      <c r="C494" s="222"/>
      <c r="D494" s="222"/>
      <c r="E494" s="222"/>
      <c r="F494" s="218"/>
      <c r="G494" s="218"/>
      <c r="H494" s="218"/>
      <c r="I494" s="218"/>
      <c r="J494" s="218"/>
      <c r="K494" s="218"/>
      <c r="L494" s="218"/>
      <c r="M494" s="218"/>
      <c r="N494" s="218"/>
      <c r="O494" s="218"/>
      <c r="P494" s="218"/>
      <c r="Q494" s="218"/>
      <c r="R494" s="218"/>
      <c r="S494" s="218"/>
      <c r="T494" s="218"/>
      <c r="U494" s="218"/>
      <c r="V494" s="218"/>
      <c r="W494" s="219"/>
      <c r="X494" s="219"/>
    </row>
    <row r="495" spans="1:24" s="220" customFormat="1" ht="15">
      <c r="A495" s="223"/>
      <c r="B495" s="222"/>
      <c r="C495" s="222"/>
      <c r="D495" s="222"/>
      <c r="E495" s="222"/>
      <c r="F495" s="218"/>
      <c r="G495" s="218"/>
      <c r="H495" s="218"/>
      <c r="I495" s="218"/>
      <c r="J495" s="218"/>
      <c r="K495" s="218"/>
      <c r="L495" s="218"/>
      <c r="M495" s="218"/>
      <c r="N495" s="218"/>
      <c r="O495" s="218"/>
      <c r="P495" s="218"/>
      <c r="Q495" s="218"/>
      <c r="R495" s="218"/>
      <c r="S495" s="218"/>
      <c r="T495" s="218"/>
      <c r="U495" s="218"/>
      <c r="V495" s="218"/>
      <c r="W495" s="219"/>
      <c r="X495" s="219"/>
    </row>
    <row r="496" spans="1:24" s="220" customFormat="1" ht="15">
      <c r="A496" s="223"/>
      <c r="B496" s="222"/>
      <c r="C496" s="222"/>
      <c r="D496" s="222"/>
      <c r="E496" s="222"/>
      <c r="F496" s="218"/>
      <c r="G496" s="218"/>
      <c r="H496" s="218"/>
      <c r="I496" s="218"/>
      <c r="J496" s="218"/>
      <c r="K496" s="218"/>
      <c r="L496" s="218"/>
      <c r="M496" s="218"/>
      <c r="N496" s="218"/>
      <c r="O496" s="218"/>
      <c r="P496" s="218"/>
      <c r="Q496" s="218"/>
      <c r="R496" s="218"/>
      <c r="S496" s="218"/>
      <c r="T496" s="218"/>
      <c r="U496" s="218"/>
      <c r="V496" s="218"/>
      <c r="W496" s="219"/>
      <c r="X496" s="219"/>
    </row>
    <row r="497" spans="1:24" s="220" customFormat="1" ht="15">
      <c r="A497" s="223"/>
      <c r="B497" s="222"/>
      <c r="C497" s="222"/>
      <c r="D497" s="222"/>
      <c r="E497" s="222"/>
      <c r="F497" s="218"/>
      <c r="G497" s="218"/>
      <c r="H497" s="218"/>
      <c r="I497" s="218"/>
      <c r="J497" s="218"/>
      <c r="K497" s="218"/>
      <c r="L497" s="218"/>
      <c r="M497" s="218"/>
      <c r="N497" s="218"/>
      <c r="O497" s="218"/>
      <c r="P497" s="218"/>
      <c r="Q497" s="218"/>
      <c r="R497" s="218"/>
      <c r="S497" s="218"/>
      <c r="T497" s="218"/>
      <c r="U497" s="218"/>
      <c r="V497" s="218"/>
      <c r="W497" s="219"/>
      <c r="X497" s="219"/>
    </row>
    <row r="498" spans="1:24" s="220" customFormat="1" ht="15">
      <c r="A498" s="223"/>
      <c r="B498" s="222"/>
      <c r="C498" s="222"/>
      <c r="D498" s="222"/>
      <c r="E498" s="222"/>
      <c r="F498" s="218"/>
      <c r="G498" s="218"/>
      <c r="H498" s="218"/>
      <c r="I498" s="218"/>
      <c r="J498" s="218"/>
      <c r="K498" s="218"/>
      <c r="L498" s="218"/>
      <c r="M498" s="218"/>
      <c r="N498" s="218"/>
      <c r="O498" s="218"/>
      <c r="P498" s="218"/>
      <c r="Q498" s="218"/>
      <c r="R498" s="218"/>
      <c r="S498" s="218"/>
      <c r="T498" s="218"/>
      <c r="U498" s="218"/>
      <c r="V498" s="218"/>
      <c r="W498" s="219"/>
      <c r="X498" s="219"/>
    </row>
    <row r="499" spans="1:24" s="220" customFormat="1" ht="15">
      <c r="A499" s="223"/>
      <c r="B499" s="222"/>
      <c r="C499" s="222"/>
      <c r="D499" s="222"/>
      <c r="E499" s="222"/>
      <c r="F499" s="218"/>
      <c r="G499" s="218"/>
      <c r="H499" s="218"/>
      <c r="I499" s="218"/>
      <c r="J499" s="218"/>
      <c r="K499" s="218"/>
      <c r="L499" s="218"/>
      <c r="M499" s="218"/>
      <c r="N499" s="218"/>
      <c r="O499" s="218"/>
      <c r="P499" s="218"/>
      <c r="Q499" s="218"/>
      <c r="R499" s="218"/>
      <c r="S499" s="218"/>
      <c r="T499" s="218"/>
      <c r="U499" s="218"/>
      <c r="V499" s="218"/>
      <c r="W499" s="219"/>
      <c r="X499" s="219"/>
    </row>
    <row r="500" spans="1:24" s="220" customFormat="1" ht="15">
      <c r="A500" s="223"/>
      <c r="B500" s="222"/>
      <c r="C500" s="222"/>
      <c r="D500" s="222"/>
      <c r="E500" s="222"/>
      <c r="F500" s="218"/>
      <c r="G500" s="218"/>
      <c r="H500" s="218"/>
      <c r="I500" s="218"/>
      <c r="J500" s="218"/>
      <c r="K500" s="218"/>
      <c r="L500" s="218"/>
      <c r="M500" s="218"/>
      <c r="N500" s="218"/>
      <c r="O500" s="218"/>
      <c r="P500" s="218"/>
      <c r="Q500" s="218"/>
      <c r="R500" s="218"/>
      <c r="S500" s="218"/>
      <c r="T500" s="218"/>
      <c r="U500" s="218"/>
      <c r="V500" s="218"/>
      <c r="W500" s="219"/>
      <c r="X500" s="219"/>
    </row>
    <row r="501" spans="1:24" s="220" customFormat="1" ht="15">
      <c r="A501" s="223"/>
      <c r="B501" s="222"/>
      <c r="C501" s="222"/>
      <c r="D501" s="222"/>
      <c r="E501" s="222"/>
      <c r="F501" s="218"/>
      <c r="G501" s="218"/>
      <c r="H501" s="218"/>
      <c r="I501" s="218"/>
      <c r="J501" s="218"/>
      <c r="K501" s="218"/>
      <c r="L501" s="218"/>
      <c r="M501" s="218"/>
      <c r="N501" s="218"/>
      <c r="O501" s="218"/>
      <c r="P501" s="218"/>
      <c r="Q501" s="218"/>
      <c r="R501" s="218"/>
      <c r="S501" s="218"/>
      <c r="T501" s="218"/>
      <c r="U501" s="218"/>
      <c r="V501" s="218"/>
      <c r="W501" s="219"/>
      <c r="X501" s="219"/>
    </row>
    <row r="502" spans="1:24" s="220" customFormat="1" ht="15">
      <c r="A502" s="223"/>
      <c r="B502" s="222"/>
      <c r="C502" s="222"/>
      <c r="D502" s="222"/>
      <c r="E502" s="222"/>
      <c r="F502" s="218"/>
      <c r="G502" s="218"/>
      <c r="H502" s="218"/>
      <c r="I502" s="218"/>
      <c r="J502" s="218"/>
      <c r="K502" s="218"/>
      <c r="L502" s="218"/>
      <c r="M502" s="218"/>
      <c r="N502" s="218"/>
      <c r="O502" s="218"/>
      <c r="P502" s="218"/>
      <c r="Q502" s="218"/>
      <c r="R502" s="218"/>
      <c r="S502" s="218"/>
      <c r="T502" s="218"/>
      <c r="U502" s="218"/>
      <c r="V502" s="218"/>
      <c r="W502" s="219"/>
      <c r="X502" s="219"/>
    </row>
    <row r="503" spans="1:24" s="220" customFormat="1" ht="15">
      <c r="A503" s="223"/>
      <c r="B503" s="222"/>
      <c r="C503" s="222"/>
      <c r="D503" s="222"/>
      <c r="E503" s="222"/>
      <c r="F503" s="218"/>
      <c r="G503" s="218"/>
      <c r="H503" s="218"/>
      <c r="I503" s="218"/>
      <c r="J503" s="218"/>
      <c r="K503" s="218"/>
      <c r="L503" s="218"/>
      <c r="M503" s="218"/>
      <c r="N503" s="218"/>
      <c r="O503" s="218"/>
      <c r="P503" s="218"/>
      <c r="Q503" s="218"/>
      <c r="R503" s="218"/>
      <c r="S503" s="218"/>
      <c r="T503" s="218"/>
      <c r="U503" s="218"/>
      <c r="V503" s="218"/>
      <c r="W503" s="219"/>
      <c r="X503" s="219"/>
    </row>
    <row r="504" spans="1:24" s="220" customFormat="1" ht="15">
      <c r="A504" s="223"/>
      <c r="B504" s="222"/>
      <c r="C504" s="222"/>
      <c r="D504" s="222"/>
      <c r="E504" s="222"/>
      <c r="F504" s="218"/>
      <c r="G504" s="218"/>
      <c r="H504" s="218"/>
      <c r="I504" s="218"/>
      <c r="J504" s="218"/>
      <c r="K504" s="218"/>
      <c r="L504" s="218"/>
      <c r="M504" s="218"/>
      <c r="N504" s="218"/>
      <c r="O504" s="218"/>
      <c r="P504" s="218"/>
      <c r="Q504" s="218"/>
      <c r="R504" s="218"/>
      <c r="S504" s="218"/>
      <c r="T504" s="218"/>
      <c r="U504" s="218"/>
      <c r="V504" s="218"/>
      <c r="W504" s="219"/>
      <c r="X504" s="219"/>
    </row>
    <row r="505" spans="1:24" s="220" customFormat="1" ht="15">
      <c r="A505" s="223"/>
      <c r="B505" s="222"/>
      <c r="C505" s="222"/>
      <c r="D505" s="222"/>
      <c r="E505" s="222"/>
      <c r="F505" s="218"/>
      <c r="G505" s="218"/>
      <c r="H505" s="218"/>
      <c r="I505" s="218"/>
      <c r="J505" s="218"/>
      <c r="K505" s="218"/>
      <c r="L505" s="218"/>
      <c r="M505" s="218"/>
      <c r="N505" s="218"/>
      <c r="O505" s="218"/>
      <c r="P505" s="218"/>
      <c r="Q505" s="218"/>
      <c r="R505" s="218"/>
      <c r="S505" s="218"/>
      <c r="T505" s="218"/>
      <c r="U505" s="218"/>
      <c r="V505" s="218"/>
      <c r="W505" s="219"/>
      <c r="X505" s="219"/>
    </row>
    <row r="506" spans="1:24" s="220" customFormat="1" ht="15">
      <c r="A506" s="223"/>
      <c r="B506" s="222"/>
      <c r="C506" s="222"/>
      <c r="D506" s="222"/>
      <c r="E506" s="222"/>
      <c r="F506" s="218"/>
      <c r="G506" s="218"/>
      <c r="H506" s="218"/>
      <c r="I506" s="218"/>
      <c r="J506" s="218"/>
      <c r="K506" s="218"/>
      <c r="L506" s="218"/>
      <c r="M506" s="218"/>
      <c r="N506" s="218"/>
      <c r="O506" s="218"/>
      <c r="P506" s="218"/>
      <c r="Q506" s="218"/>
      <c r="R506" s="218"/>
      <c r="S506" s="218"/>
      <c r="T506" s="218"/>
      <c r="U506" s="218"/>
      <c r="V506" s="218"/>
      <c r="W506" s="219"/>
      <c r="X506" s="219"/>
    </row>
    <row r="507" spans="1:24" s="220" customFormat="1" ht="15">
      <c r="A507" s="223"/>
      <c r="B507" s="222"/>
      <c r="C507" s="222"/>
      <c r="D507" s="222"/>
      <c r="E507" s="222"/>
      <c r="F507" s="218"/>
      <c r="G507" s="218"/>
      <c r="H507" s="218"/>
      <c r="I507" s="218"/>
      <c r="J507" s="218"/>
      <c r="K507" s="218"/>
      <c r="L507" s="218"/>
      <c r="M507" s="218"/>
      <c r="N507" s="218"/>
      <c r="O507" s="218"/>
      <c r="P507" s="218"/>
      <c r="Q507" s="218"/>
      <c r="R507" s="218"/>
      <c r="S507" s="218"/>
      <c r="T507" s="218"/>
      <c r="U507" s="218"/>
      <c r="V507" s="218"/>
      <c r="W507" s="219"/>
      <c r="X507" s="219"/>
    </row>
    <row r="508" spans="1:24" s="220" customFormat="1" ht="15">
      <c r="A508" s="223"/>
      <c r="B508" s="222"/>
      <c r="C508" s="222"/>
      <c r="D508" s="222"/>
      <c r="E508" s="222"/>
      <c r="F508" s="218"/>
      <c r="G508" s="218"/>
      <c r="H508" s="218"/>
      <c r="I508" s="218"/>
      <c r="J508" s="218"/>
      <c r="K508" s="218"/>
      <c r="L508" s="218"/>
      <c r="M508" s="218"/>
      <c r="N508" s="218"/>
      <c r="O508" s="218"/>
      <c r="P508" s="218"/>
      <c r="Q508" s="218"/>
      <c r="R508" s="218"/>
      <c r="S508" s="218"/>
      <c r="T508" s="218"/>
      <c r="U508" s="218"/>
      <c r="V508" s="218"/>
      <c r="W508" s="219"/>
      <c r="X508" s="219"/>
    </row>
    <row r="509" spans="1:24" s="220" customFormat="1" ht="15">
      <c r="A509" s="223"/>
      <c r="B509" s="222"/>
      <c r="C509" s="222"/>
      <c r="D509" s="222"/>
      <c r="E509" s="222"/>
      <c r="F509" s="218"/>
      <c r="G509" s="218"/>
      <c r="H509" s="218"/>
      <c r="I509" s="218"/>
      <c r="J509" s="218"/>
      <c r="K509" s="218"/>
      <c r="L509" s="218"/>
      <c r="M509" s="218"/>
      <c r="N509" s="218"/>
      <c r="O509" s="218"/>
      <c r="P509" s="218"/>
      <c r="Q509" s="218"/>
      <c r="R509" s="218"/>
      <c r="S509" s="218"/>
      <c r="T509" s="218"/>
      <c r="U509" s="218"/>
      <c r="V509" s="218"/>
      <c r="W509" s="219"/>
      <c r="X509" s="219"/>
    </row>
    <row r="510" spans="1:24" s="220" customFormat="1" ht="15">
      <c r="A510" s="223"/>
      <c r="B510" s="222"/>
      <c r="C510" s="222"/>
      <c r="D510" s="222"/>
      <c r="E510" s="222"/>
      <c r="F510" s="218"/>
      <c r="G510" s="218"/>
      <c r="H510" s="218"/>
      <c r="I510" s="218"/>
      <c r="J510" s="218"/>
      <c r="K510" s="218"/>
      <c r="L510" s="218"/>
      <c r="M510" s="218"/>
      <c r="N510" s="218"/>
      <c r="O510" s="218"/>
      <c r="P510" s="218"/>
      <c r="Q510" s="218"/>
      <c r="R510" s="218"/>
      <c r="S510" s="218"/>
      <c r="T510" s="218"/>
      <c r="U510" s="218"/>
      <c r="V510" s="218"/>
      <c r="W510" s="219"/>
      <c r="X510" s="219"/>
    </row>
    <row r="511" spans="1:24" s="220" customFormat="1" ht="15">
      <c r="A511" s="223"/>
      <c r="B511" s="222"/>
      <c r="C511" s="222"/>
      <c r="D511" s="222"/>
      <c r="E511" s="222"/>
      <c r="F511" s="218"/>
      <c r="G511" s="218"/>
      <c r="H511" s="218"/>
      <c r="I511" s="218"/>
      <c r="J511" s="218"/>
      <c r="K511" s="218"/>
      <c r="L511" s="218"/>
      <c r="M511" s="218"/>
      <c r="N511" s="218"/>
      <c r="O511" s="218"/>
      <c r="P511" s="218"/>
      <c r="Q511" s="218"/>
      <c r="R511" s="218"/>
      <c r="S511" s="218"/>
      <c r="T511" s="218"/>
      <c r="U511" s="218"/>
      <c r="V511" s="218"/>
      <c r="W511" s="219"/>
      <c r="X511" s="219"/>
    </row>
    <row r="512" spans="1:24" s="220" customFormat="1" ht="15">
      <c r="A512" s="223"/>
      <c r="B512" s="222"/>
      <c r="C512" s="222"/>
      <c r="D512" s="222"/>
      <c r="E512" s="222"/>
      <c r="F512" s="218"/>
      <c r="G512" s="218"/>
      <c r="H512" s="218"/>
      <c r="I512" s="218"/>
      <c r="J512" s="218"/>
      <c r="K512" s="218"/>
      <c r="L512" s="218"/>
      <c r="M512" s="218"/>
      <c r="N512" s="218"/>
      <c r="O512" s="218"/>
      <c r="P512" s="218"/>
      <c r="Q512" s="218"/>
      <c r="R512" s="218"/>
      <c r="S512" s="218"/>
      <c r="T512" s="218"/>
      <c r="U512" s="218"/>
      <c r="V512" s="218"/>
      <c r="W512" s="219"/>
      <c r="X512" s="219"/>
    </row>
    <row r="513" spans="1:24" s="220" customFormat="1" ht="15">
      <c r="A513" s="223"/>
      <c r="B513" s="222"/>
      <c r="C513" s="222"/>
      <c r="D513" s="222"/>
      <c r="E513" s="222"/>
      <c r="F513" s="218"/>
      <c r="G513" s="218"/>
      <c r="H513" s="218"/>
      <c r="I513" s="218"/>
      <c r="J513" s="218"/>
      <c r="K513" s="218"/>
      <c r="L513" s="218"/>
      <c r="M513" s="218"/>
      <c r="N513" s="218"/>
      <c r="O513" s="218"/>
      <c r="P513" s="218"/>
      <c r="Q513" s="218"/>
      <c r="R513" s="218"/>
      <c r="S513" s="218"/>
      <c r="T513" s="218"/>
      <c r="U513" s="218"/>
      <c r="V513" s="218"/>
      <c r="W513" s="219"/>
      <c r="X513" s="219"/>
    </row>
    <row r="514" spans="1:24" s="220" customFormat="1" ht="15">
      <c r="A514" s="223"/>
      <c r="B514" s="222"/>
      <c r="C514" s="222"/>
      <c r="D514" s="222"/>
      <c r="E514" s="222"/>
      <c r="F514" s="218"/>
      <c r="G514" s="218"/>
      <c r="H514" s="218"/>
      <c r="I514" s="218"/>
      <c r="J514" s="218"/>
      <c r="K514" s="218"/>
      <c r="L514" s="218"/>
      <c r="M514" s="218"/>
      <c r="N514" s="218"/>
      <c r="O514" s="218"/>
      <c r="P514" s="218"/>
      <c r="Q514" s="218"/>
      <c r="R514" s="218"/>
      <c r="S514" s="218"/>
      <c r="T514" s="218"/>
      <c r="U514" s="218"/>
      <c r="V514" s="218"/>
      <c r="W514" s="219"/>
      <c r="X514" s="219"/>
    </row>
    <row r="515" spans="1:24" s="220" customFormat="1" ht="15">
      <c r="A515" s="223"/>
      <c r="B515" s="222"/>
      <c r="C515" s="222"/>
      <c r="D515" s="222"/>
      <c r="E515" s="222"/>
      <c r="F515" s="218"/>
      <c r="G515" s="218"/>
      <c r="H515" s="218"/>
      <c r="I515" s="218"/>
      <c r="J515" s="218"/>
      <c r="K515" s="218"/>
      <c r="L515" s="218"/>
      <c r="M515" s="218"/>
      <c r="N515" s="218"/>
      <c r="O515" s="218"/>
      <c r="P515" s="218"/>
      <c r="Q515" s="218"/>
      <c r="R515" s="218"/>
      <c r="S515" s="218"/>
      <c r="T515" s="218"/>
      <c r="U515" s="218"/>
      <c r="V515" s="218"/>
      <c r="W515" s="219"/>
      <c r="X515" s="219"/>
    </row>
    <row r="516" spans="1:24" s="220" customFormat="1" ht="15">
      <c r="A516" s="223"/>
      <c r="B516" s="222"/>
      <c r="C516" s="222"/>
      <c r="D516" s="222"/>
      <c r="E516" s="222"/>
      <c r="F516" s="218"/>
      <c r="G516" s="218"/>
      <c r="H516" s="218"/>
      <c r="I516" s="218"/>
      <c r="J516" s="218"/>
      <c r="K516" s="218"/>
      <c r="L516" s="218"/>
      <c r="M516" s="218"/>
      <c r="N516" s="218"/>
      <c r="O516" s="218"/>
      <c r="P516" s="218"/>
      <c r="Q516" s="218"/>
      <c r="R516" s="218"/>
      <c r="S516" s="218"/>
      <c r="T516" s="218"/>
      <c r="U516" s="218"/>
      <c r="V516" s="218"/>
      <c r="W516" s="219"/>
      <c r="X516" s="219"/>
    </row>
    <row r="517" spans="1:24" s="220" customFormat="1" ht="15">
      <c r="A517" s="223"/>
      <c r="B517" s="222"/>
      <c r="C517" s="222"/>
      <c r="D517" s="222"/>
      <c r="E517" s="222"/>
      <c r="F517" s="218"/>
      <c r="G517" s="218"/>
      <c r="H517" s="218"/>
      <c r="I517" s="218"/>
      <c r="J517" s="218"/>
      <c r="K517" s="218"/>
      <c r="L517" s="218"/>
      <c r="M517" s="218"/>
      <c r="N517" s="218"/>
      <c r="O517" s="218"/>
      <c r="P517" s="218"/>
      <c r="Q517" s="218"/>
      <c r="R517" s="218"/>
      <c r="S517" s="218"/>
      <c r="T517" s="218"/>
      <c r="U517" s="218"/>
      <c r="V517" s="218"/>
      <c r="W517" s="219"/>
      <c r="X517" s="219"/>
    </row>
    <row r="518" spans="1:24" s="220" customFormat="1" ht="15">
      <c r="A518" s="223"/>
      <c r="B518" s="222"/>
      <c r="C518" s="222"/>
      <c r="D518" s="222"/>
      <c r="E518" s="222"/>
      <c r="F518" s="218"/>
      <c r="G518" s="218"/>
      <c r="H518" s="218"/>
      <c r="I518" s="218"/>
      <c r="J518" s="218"/>
      <c r="K518" s="218"/>
      <c r="L518" s="218"/>
      <c r="M518" s="218"/>
      <c r="N518" s="218"/>
      <c r="O518" s="218"/>
      <c r="P518" s="218"/>
      <c r="Q518" s="218"/>
      <c r="R518" s="218"/>
      <c r="S518" s="218"/>
      <c r="T518" s="218"/>
      <c r="U518" s="218"/>
      <c r="V518" s="218"/>
      <c r="W518" s="219"/>
      <c r="X518" s="219"/>
    </row>
    <row r="519" spans="1:24" s="220" customFormat="1" ht="15">
      <c r="A519" s="223"/>
      <c r="B519" s="222"/>
      <c r="C519" s="222"/>
      <c r="D519" s="222"/>
      <c r="E519" s="222"/>
      <c r="F519" s="218"/>
      <c r="G519" s="218"/>
      <c r="H519" s="218"/>
      <c r="I519" s="218"/>
      <c r="J519" s="218"/>
      <c r="K519" s="218"/>
      <c r="L519" s="218"/>
      <c r="M519" s="218"/>
      <c r="N519" s="218"/>
      <c r="O519" s="218"/>
      <c r="P519" s="218"/>
      <c r="Q519" s="218"/>
      <c r="R519" s="218"/>
      <c r="S519" s="218"/>
      <c r="T519" s="218"/>
      <c r="U519" s="218"/>
      <c r="V519" s="218"/>
      <c r="W519" s="219"/>
      <c r="X519" s="219"/>
    </row>
    <row r="520" spans="1:24" s="220" customFormat="1" ht="15">
      <c r="A520" s="223"/>
      <c r="B520" s="222"/>
      <c r="C520" s="222"/>
      <c r="D520" s="222"/>
      <c r="E520" s="222"/>
      <c r="F520" s="218"/>
      <c r="G520" s="218"/>
      <c r="H520" s="218"/>
      <c r="I520" s="218"/>
      <c r="J520" s="218"/>
      <c r="K520" s="218"/>
      <c r="L520" s="218"/>
      <c r="M520" s="218"/>
      <c r="N520" s="218"/>
      <c r="O520" s="218"/>
      <c r="P520" s="218"/>
      <c r="Q520" s="218"/>
      <c r="R520" s="218"/>
      <c r="S520" s="218"/>
      <c r="T520" s="218"/>
      <c r="U520" s="218"/>
      <c r="V520" s="218"/>
      <c r="W520" s="219"/>
      <c r="X520" s="219"/>
    </row>
    <row r="521" spans="1:24" s="220" customFormat="1" ht="15">
      <c r="A521" s="223"/>
      <c r="B521" s="222"/>
      <c r="C521" s="222"/>
      <c r="D521" s="222"/>
      <c r="E521" s="222"/>
      <c r="F521" s="218"/>
      <c r="G521" s="218"/>
      <c r="H521" s="218"/>
      <c r="I521" s="218"/>
      <c r="J521" s="218"/>
      <c r="K521" s="218"/>
      <c r="L521" s="218"/>
      <c r="M521" s="218"/>
      <c r="N521" s="218"/>
      <c r="O521" s="218"/>
      <c r="P521" s="218"/>
      <c r="Q521" s="218"/>
      <c r="R521" s="218"/>
      <c r="S521" s="218"/>
      <c r="T521" s="218"/>
      <c r="U521" s="218"/>
      <c r="V521" s="218"/>
      <c r="W521" s="219"/>
      <c r="X521" s="219"/>
    </row>
    <row r="522" spans="1:24" s="220" customFormat="1" ht="15">
      <c r="A522" s="223"/>
      <c r="B522" s="222"/>
      <c r="C522" s="222"/>
      <c r="D522" s="222"/>
      <c r="E522" s="222"/>
      <c r="F522" s="218"/>
      <c r="G522" s="218"/>
      <c r="H522" s="218"/>
      <c r="I522" s="218"/>
      <c r="J522" s="218"/>
      <c r="K522" s="218"/>
      <c r="L522" s="218"/>
      <c r="M522" s="218"/>
      <c r="N522" s="218"/>
      <c r="O522" s="218"/>
      <c r="P522" s="218"/>
      <c r="Q522" s="218"/>
      <c r="R522" s="218"/>
      <c r="S522" s="218"/>
      <c r="T522" s="218"/>
      <c r="U522" s="218"/>
      <c r="V522" s="218"/>
      <c r="W522" s="219"/>
      <c r="X522" s="219"/>
    </row>
    <row r="523" spans="1:24" s="220" customFormat="1" ht="15">
      <c r="A523" s="223"/>
      <c r="B523" s="222"/>
      <c r="C523" s="222"/>
      <c r="D523" s="222"/>
      <c r="E523" s="222"/>
      <c r="F523" s="218"/>
      <c r="G523" s="218"/>
      <c r="H523" s="218"/>
      <c r="I523" s="218"/>
      <c r="J523" s="218"/>
      <c r="K523" s="218"/>
      <c r="L523" s="218"/>
      <c r="M523" s="218"/>
      <c r="N523" s="218"/>
      <c r="O523" s="218"/>
      <c r="P523" s="218"/>
      <c r="Q523" s="218"/>
      <c r="R523" s="218"/>
      <c r="S523" s="218"/>
      <c r="T523" s="218"/>
      <c r="U523" s="218"/>
      <c r="V523" s="218"/>
      <c r="W523" s="219"/>
      <c r="X523" s="219"/>
    </row>
    <row r="524" spans="1:24" s="220" customFormat="1" ht="15">
      <c r="A524" s="223"/>
      <c r="B524" s="222"/>
      <c r="C524" s="222"/>
      <c r="D524" s="222"/>
      <c r="E524" s="222"/>
      <c r="F524" s="218"/>
      <c r="G524" s="218"/>
      <c r="H524" s="218"/>
      <c r="I524" s="218"/>
      <c r="J524" s="218"/>
      <c r="K524" s="218"/>
      <c r="L524" s="218"/>
      <c r="M524" s="218"/>
      <c r="N524" s="218"/>
      <c r="O524" s="218"/>
      <c r="P524" s="218"/>
      <c r="Q524" s="218"/>
      <c r="R524" s="218"/>
      <c r="S524" s="218"/>
      <c r="T524" s="218"/>
      <c r="U524" s="218"/>
      <c r="V524" s="218"/>
      <c r="W524" s="219"/>
      <c r="X524" s="219"/>
    </row>
    <row r="525" spans="1:24" s="220" customFormat="1" ht="15">
      <c r="A525" s="223"/>
      <c r="B525" s="222"/>
      <c r="C525" s="222"/>
      <c r="D525" s="222"/>
      <c r="E525" s="222"/>
      <c r="F525" s="218"/>
      <c r="G525" s="218"/>
      <c r="H525" s="218"/>
      <c r="I525" s="218"/>
      <c r="J525" s="218"/>
      <c r="K525" s="218"/>
      <c r="L525" s="218"/>
      <c r="M525" s="218"/>
      <c r="N525" s="218"/>
      <c r="O525" s="218"/>
      <c r="P525" s="218"/>
      <c r="Q525" s="218"/>
      <c r="R525" s="218"/>
      <c r="S525" s="218"/>
      <c r="T525" s="218"/>
      <c r="U525" s="218"/>
      <c r="V525" s="218"/>
      <c r="W525" s="219"/>
      <c r="X525" s="219"/>
    </row>
    <row r="526" spans="1:24" s="220" customFormat="1" ht="15">
      <c r="A526" s="223"/>
      <c r="B526" s="222"/>
      <c r="C526" s="222"/>
      <c r="D526" s="222"/>
      <c r="E526" s="222"/>
      <c r="F526" s="218"/>
      <c r="G526" s="218"/>
      <c r="H526" s="218"/>
      <c r="I526" s="218"/>
      <c r="J526" s="218"/>
      <c r="K526" s="218"/>
      <c r="L526" s="218"/>
      <c r="M526" s="218"/>
      <c r="N526" s="218"/>
      <c r="O526" s="218"/>
      <c r="P526" s="218"/>
      <c r="Q526" s="218"/>
      <c r="R526" s="218"/>
      <c r="S526" s="218"/>
      <c r="T526" s="218"/>
      <c r="U526" s="218"/>
      <c r="V526" s="218"/>
      <c r="W526" s="219"/>
      <c r="X526" s="219"/>
    </row>
    <row r="527" spans="1:24" s="220" customFormat="1" ht="15">
      <c r="A527" s="223"/>
      <c r="B527" s="222"/>
      <c r="C527" s="222"/>
      <c r="D527" s="222"/>
      <c r="E527" s="222"/>
      <c r="F527" s="218"/>
      <c r="G527" s="218"/>
      <c r="H527" s="218"/>
      <c r="I527" s="218"/>
      <c r="J527" s="218"/>
      <c r="K527" s="218"/>
      <c r="L527" s="218"/>
      <c r="M527" s="218"/>
      <c r="N527" s="218"/>
      <c r="O527" s="218"/>
      <c r="P527" s="218"/>
      <c r="Q527" s="218"/>
      <c r="R527" s="218"/>
      <c r="S527" s="218"/>
      <c r="T527" s="218"/>
      <c r="U527" s="218"/>
      <c r="V527" s="218"/>
      <c r="W527" s="219"/>
      <c r="X527" s="219"/>
    </row>
    <row r="528" spans="1:24" s="220" customFormat="1" ht="15">
      <c r="A528" s="223"/>
      <c r="B528" s="222"/>
      <c r="C528" s="222"/>
      <c r="D528" s="222"/>
      <c r="E528" s="222"/>
      <c r="F528" s="218"/>
      <c r="G528" s="218"/>
      <c r="H528" s="218"/>
      <c r="I528" s="218"/>
      <c r="J528" s="218"/>
      <c r="K528" s="218"/>
      <c r="L528" s="218"/>
      <c r="M528" s="218"/>
      <c r="N528" s="218"/>
      <c r="O528" s="218"/>
      <c r="P528" s="218"/>
      <c r="Q528" s="218"/>
      <c r="R528" s="218"/>
      <c r="S528" s="218"/>
      <c r="T528" s="218"/>
      <c r="U528" s="218"/>
      <c r="V528" s="218"/>
      <c r="W528" s="219"/>
      <c r="X528" s="219"/>
    </row>
    <row r="529" spans="1:24" s="220" customFormat="1" ht="15">
      <c r="A529" s="223"/>
      <c r="B529" s="222"/>
      <c r="C529" s="222"/>
      <c r="D529" s="222"/>
      <c r="E529" s="222"/>
      <c r="F529" s="218"/>
      <c r="G529" s="218"/>
      <c r="H529" s="218"/>
      <c r="I529" s="218"/>
      <c r="J529" s="218"/>
      <c r="K529" s="218"/>
      <c r="L529" s="218"/>
      <c r="M529" s="218"/>
      <c r="N529" s="218"/>
      <c r="O529" s="218"/>
      <c r="P529" s="218"/>
      <c r="Q529" s="218"/>
      <c r="R529" s="218"/>
      <c r="S529" s="218"/>
      <c r="T529" s="218"/>
      <c r="U529" s="218"/>
      <c r="V529" s="218"/>
      <c r="W529" s="219"/>
      <c r="X529" s="219"/>
    </row>
    <row r="530" spans="1:24" s="220" customFormat="1" ht="15">
      <c r="A530" s="223"/>
      <c r="B530" s="222"/>
      <c r="C530" s="222"/>
      <c r="D530" s="222"/>
      <c r="E530" s="222"/>
      <c r="F530" s="218"/>
      <c r="G530" s="218"/>
      <c r="H530" s="218"/>
      <c r="I530" s="218"/>
      <c r="J530" s="218"/>
      <c r="K530" s="218"/>
      <c r="L530" s="218"/>
      <c r="M530" s="218"/>
      <c r="N530" s="218"/>
      <c r="O530" s="218"/>
      <c r="P530" s="218"/>
      <c r="Q530" s="218"/>
      <c r="R530" s="218"/>
      <c r="S530" s="218"/>
      <c r="T530" s="218"/>
      <c r="U530" s="218"/>
      <c r="V530" s="218"/>
      <c r="W530" s="219"/>
      <c r="X530" s="219"/>
    </row>
    <row r="531" spans="1:24" s="220" customFormat="1" ht="15">
      <c r="A531" s="223"/>
      <c r="B531" s="222"/>
      <c r="C531" s="222"/>
      <c r="D531" s="222"/>
      <c r="E531" s="222"/>
      <c r="F531" s="218"/>
      <c r="G531" s="218"/>
      <c r="H531" s="218"/>
      <c r="I531" s="218"/>
      <c r="J531" s="218"/>
      <c r="K531" s="218"/>
      <c r="L531" s="218"/>
      <c r="M531" s="218"/>
      <c r="N531" s="218"/>
      <c r="O531" s="218"/>
      <c r="P531" s="218"/>
      <c r="Q531" s="218"/>
      <c r="R531" s="218"/>
      <c r="S531" s="218"/>
      <c r="T531" s="218"/>
      <c r="U531" s="218"/>
      <c r="V531" s="218"/>
      <c r="W531" s="219"/>
      <c r="X531" s="219"/>
    </row>
    <row r="532" spans="1:24" s="220" customFormat="1" ht="15">
      <c r="A532" s="223"/>
      <c r="B532" s="222"/>
      <c r="C532" s="222"/>
      <c r="D532" s="222"/>
      <c r="E532" s="222"/>
      <c r="F532" s="218"/>
      <c r="G532" s="218"/>
      <c r="H532" s="218"/>
      <c r="I532" s="218"/>
      <c r="J532" s="218"/>
      <c r="K532" s="218"/>
      <c r="L532" s="218"/>
      <c r="M532" s="218"/>
      <c r="N532" s="218"/>
      <c r="O532" s="218"/>
      <c r="P532" s="218"/>
      <c r="Q532" s="218"/>
      <c r="R532" s="218"/>
      <c r="S532" s="218"/>
      <c r="T532" s="218"/>
      <c r="U532" s="218"/>
      <c r="V532" s="218"/>
      <c r="W532" s="219"/>
      <c r="X532" s="219"/>
    </row>
    <row r="533" spans="1:24" s="220" customFormat="1" ht="15">
      <c r="A533" s="223"/>
      <c r="B533" s="222"/>
      <c r="C533" s="222"/>
      <c r="D533" s="222"/>
      <c r="E533" s="222"/>
      <c r="F533" s="218"/>
      <c r="G533" s="218"/>
      <c r="H533" s="218"/>
      <c r="I533" s="218"/>
      <c r="J533" s="218"/>
      <c r="K533" s="218"/>
      <c r="L533" s="218"/>
      <c r="M533" s="218"/>
      <c r="N533" s="218"/>
      <c r="O533" s="218"/>
      <c r="P533" s="218"/>
      <c r="Q533" s="218"/>
      <c r="R533" s="218"/>
      <c r="S533" s="218"/>
      <c r="T533" s="218"/>
      <c r="U533" s="218"/>
      <c r="V533" s="218"/>
      <c r="W533" s="219"/>
      <c r="X533" s="219"/>
    </row>
    <row r="534" spans="1:24" s="220" customFormat="1" ht="15">
      <c r="A534" s="223"/>
      <c r="B534" s="222"/>
      <c r="C534" s="222"/>
      <c r="D534" s="222"/>
      <c r="E534" s="222"/>
      <c r="F534" s="218"/>
      <c r="G534" s="218"/>
      <c r="H534" s="218"/>
      <c r="I534" s="218"/>
      <c r="J534" s="218"/>
      <c r="K534" s="218"/>
      <c r="L534" s="218"/>
      <c r="M534" s="218"/>
      <c r="N534" s="218"/>
      <c r="O534" s="218"/>
      <c r="P534" s="218"/>
      <c r="Q534" s="218"/>
      <c r="R534" s="218"/>
      <c r="S534" s="218"/>
      <c r="T534" s="218"/>
      <c r="U534" s="218"/>
      <c r="V534" s="218"/>
      <c r="W534" s="219"/>
      <c r="X534" s="219"/>
    </row>
    <row r="535" spans="1:24" s="220" customFormat="1" ht="15">
      <c r="A535" s="223"/>
      <c r="B535" s="222"/>
      <c r="C535" s="222"/>
      <c r="D535" s="222"/>
      <c r="E535" s="222"/>
      <c r="F535" s="218"/>
      <c r="G535" s="218"/>
      <c r="H535" s="218"/>
      <c r="I535" s="218"/>
      <c r="J535" s="218"/>
      <c r="K535" s="218"/>
      <c r="L535" s="218"/>
      <c r="M535" s="218"/>
      <c r="N535" s="218"/>
      <c r="O535" s="218"/>
      <c r="P535" s="218"/>
      <c r="Q535" s="218"/>
      <c r="R535" s="218"/>
      <c r="S535" s="218"/>
      <c r="T535" s="218"/>
      <c r="U535" s="218"/>
      <c r="V535" s="218"/>
      <c r="W535" s="219"/>
      <c r="X535" s="219"/>
    </row>
    <row r="536" spans="1:24" s="220" customFormat="1" ht="15">
      <c r="A536" s="223"/>
      <c r="B536" s="222"/>
      <c r="C536" s="222"/>
      <c r="D536" s="222"/>
      <c r="E536" s="222"/>
      <c r="F536" s="218"/>
      <c r="G536" s="218"/>
      <c r="H536" s="218"/>
      <c r="I536" s="218"/>
      <c r="J536" s="218"/>
      <c r="K536" s="218"/>
      <c r="L536" s="218"/>
      <c r="M536" s="218"/>
      <c r="N536" s="218"/>
      <c r="O536" s="218"/>
      <c r="P536" s="218"/>
      <c r="Q536" s="218"/>
      <c r="R536" s="218"/>
      <c r="S536" s="218"/>
      <c r="T536" s="218"/>
      <c r="U536" s="218"/>
      <c r="V536" s="218"/>
      <c r="W536" s="219"/>
      <c r="X536" s="219"/>
    </row>
    <row r="537" spans="1:24" s="220" customFormat="1" ht="15">
      <c r="A537" s="223"/>
      <c r="B537" s="222"/>
      <c r="C537" s="222"/>
      <c r="D537" s="222"/>
      <c r="E537" s="222"/>
      <c r="F537" s="218"/>
      <c r="G537" s="218"/>
      <c r="H537" s="218"/>
      <c r="I537" s="218"/>
      <c r="J537" s="218"/>
      <c r="K537" s="218"/>
      <c r="L537" s="218"/>
      <c r="M537" s="218"/>
      <c r="N537" s="218"/>
      <c r="O537" s="218"/>
      <c r="P537" s="218"/>
      <c r="Q537" s="218"/>
      <c r="R537" s="218"/>
      <c r="S537" s="218"/>
      <c r="T537" s="218"/>
      <c r="U537" s="218"/>
      <c r="V537" s="218"/>
      <c r="W537" s="219"/>
      <c r="X537" s="219"/>
    </row>
    <row r="538" spans="1:24" s="220" customFormat="1" ht="15">
      <c r="A538" s="223"/>
      <c r="B538" s="222"/>
      <c r="C538" s="222"/>
      <c r="D538" s="222"/>
      <c r="E538" s="222"/>
      <c r="F538" s="218"/>
      <c r="G538" s="218"/>
      <c r="H538" s="218"/>
      <c r="I538" s="218"/>
      <c r="J538" s="218"/>
      <c r="K538" s="218"/>
      <c r="L538" s="218"/>
      <c r="M538" s="218"/>
      <c r="N538" s="218"/>
      <c r="O538" s="218"/>
      <c r="P538" s="218"/>
      <c r="Q538" s="218"/>
      <c r="R538" s="218"/>
      <c r="S538" s="218"/>
      <c r="T538" s="218"/>
      <c r="U538" s="218"/>
      <c r="V538" s="218"/>
      <c r="W538" s="219"/>
      <c r="X538" s="219"/>
    </row>
    <row r="539" spans="1:24" s="220" customFormat="1" ht="15">
      <c r="A539" s="223"/>
      <c r="B539" s="222"/>
      <c r="C539" s="222"/>
      <c r="D539" s="222"/>
      <c r="E539" s="222"/>
      <c r="F539" s="218"/>
      <c r="G539" s="218"/>
      <c r="H539" s="218"/>
      <c r="I539" s="218"/>
      <c r="J539" s="218"/>
      <c r="K539" s="218"/>
      <c r="L539" s="218"/>
      <c r="M539" s="218"/>
      <c r="N539" s="218"/>
      <c r="O539" s="218"/>
      <c r="P539" s="218"/>
      <c r="Q539" s="218"/>
      <c r="R539" s="218"/>
      <c r="S539" s="218"/>
      <c r="T539" s="218"/>
      <c r="U539" s="218"/>
      <c r="V539" s="218"/>
      <c r="W539" s="219"/>
      <c r="X539" s="219"/>
    </row>
    <row r="540" spans="1:24" s="220" customFormat="1" ht="15">
      <c r="A540" s="223"/>
      <c r="B540" s="222"/>
      <c r="C540" s="222"/>
      <c r="D540" s="222"/>
      <c r="E540" s="222"/>
      <c r="F540" s="218"/>
      <c r="G540" s="218"/>
      <c r="H540" s="218"/>
      <c r="I540" s="218"/>
      <c r="J540" s="218"/>
      <c r="K540" s="218"/>
      <c r="L540" s="218"/>
      <c r="M540" s="218"/>
      <c r="N540" s="218"/>
      <c r="O540" s="218"/>
      <c r="P540" s="218"/>
      <c r="Q540" s="218"/>
      <c r="R540" s="218"/>
      <c r="S540" s="218"/>
      <c r="T540" s="218"/>
      <c r="U540" s="218"/>
      <c r="V540" s="218"/>
      <c r="W540" s="219"/>
      <c r="X540" s="219"/>
    </row>
    <row r="541" spans="1:24" s="220" customFormat="1" ht="15">
      <c r="A541" s="223"/>
      <c r="B541" s="222"/>
      <c r="C541" s="222"/>
      <c r="D541" s="222"/>
      <c r="E541" s="222"/>
      <c r="F541" s="218"/>
      <c r="G541" s="218"/>
      <c r="H541" s="218"/>
      <c r="I541" s="218"/>
      <c r="J541" s="218"/>
      <c r="K541" s="218"/>
      <c r="L541" s="218"/>
      <c r="M541" s="218"/>
      <c r="N541" s="218"/>
      <c r="O541" s="218"/>
      <c r="P541" s="218"/>
      <c r="Q541" s="218"/>
      <c r="R541" s="218"/>
      <c r="S541" s="218"/>
      <c r="T541" s="218"/>
      <c r="U541" s="218"/>
      <c r="V541" s="218"/>
      <c r="W541" s="219"/>
      <c r="X541" s="219"/>
    </row>
  </sheetData>
  <sheetProtection/>
  <mergeCells count="4">
    <mergeCell ref="A5:E5"/>
    <mergeCell ref="A6:E6"/>
    <mergeCell ref="A7:E7"/>
    <mergeCell ref="A358:E358"/>
  </mergeCells>
  <printOptions horizontalCentered="1"/>
  <pageMargins left="0.24" right="0.26" top="0.25" bottom="0.19" header="0.19" footer="0"/>
  <pageSetup horizontalDpi="600" verticalDpi="600" orientation="portrait" paperSize="9" scale="70" r:id="rId1"/>
  <headerFooter alignWithMargins="0">
    <oddHeader>&amp;L
</oddHeader>
    <oddFooter>&amp;C&amp;8Pagina &amp;P&amp;R&amp;7&amp;D&amp;T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Public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R.Dumitrascu</dc:creator>
  <cp:keywords/>
  <dc:description/>
  <cp:lastModifiedBy>FLORENTA-CORINA SERBAN</cp:lastModifiedBy>
  <cp:lastPrinted>2015-09-18T06:38:09Z</cp:lastPrinted>
  <dcterms:created xsi:type="dcterms:W3CDTF">2007-06-13T08:57:28Z</dcterms:created>
  <dcterms:modified xsi:type="dcterms:W3CDTF">2021-12-10T07:37:48Z</dcterms:modified>
  <cp:category/>
  <cp:version/>
  <cp:contentType/>
  <cp:contentStatus/>
</cp:coreProperties>
</file>