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1260" windowWidth="18105" windowHeight="10455" activeTab="0"/>
  </bookViews>
  <sheets>
    <sheet name=" bgc ian  2013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</externalReferences>
  <definedNames>
    <definedName name="__0absorc">'[6]Programa'!#REF!</definedName>
    <definedName name="__0c">'[6]Programa'!#REF!</definedName>
    <definedName name="__123Graph_ADEFINITION">'[7]NBM'!#REF!</definedName>
    <definedName name="__123Graph_ADEFINITION2">'[7]NBM'!#REF!</definedName>
    <definedName name="__123Graph_BDEFINITION">'[7]NBM'!#REF!</definedName>
    <definedName name="__123Graph_BDEFINITION2">'[7]NBM'!#REF!</definedName>
    <definedName name="__123Graph_BFITB2">'[8]FITB_all'!#REF!</definedName>
    <definedName name="__123Graph_BFITB3">'[8]FITB_all'!#REF!</definedName>
    <definedName name="__123Graph_BGDP">'[9]Quarterly Program'!#REF!</definedName>
    <definedName name="__123Graph_BMONEY">'[9]Quarterly Program'!#REF!</definedName>
    <definedName name="__123Graph_BTBILL2">'[8]FITB_all'!#REF!</definedName>
    <definedName name="__123Graph_CDEFINITION2">'[10]NBM'!#REF!</definedName>
    <definedName name="__123Graph_DDEFINITION2">'[10]NBM'!#REF!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'[12]Assumptions'!#REF!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'[12]Assumptions'!#REF!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'[13]LINK'!$A$1:$A$42</definedName>
    <definedName name="a_11">WEO '[13]LINK'!$A$1:$A$42</definedName>
    <definedName name="a_14">#REF!</definedName>
    <definedName name="a_15">WEO '[13]LINK'!$A$1:$A$42</definedName>
    <definedName name="a_17">WEO '[13]LINK'!$A$1:$A$42</definedName>
    <definedName name="a_2">#REF!</definedName>
    <definedName name="a_20">WEO '[13]LINK'!$A$1:$A$42</definedName>
    <definedName name="a_22">WEO '[13]LINK'!$A$1:$A$42</definedName>
    <definedName name="a_24">WEO '[13]LINK'!$A$1:$A$42</definedName>
    <definedName name="a_25">#REF!</definedName>
    <definedName name="a_28">WEO '[13]LINK'!$A$1:$A$42</definedName>
    <definedName name="a_37">WEO '[13]LINK'!$A$1:$A$42</definedName>
    <definedName name="a_38">WEO '[13]LINK'!$A$1:$A$42</definedName>
    <definedName name="a_46">WEO '[13]LINK'!$A$1:$A$42</definedName>
    <definedName name="a_47">WEO '[13]LINK'!$A$1:$A$42</definedName>
    <definedName name="a_49">WEO '[13]LINK'!$A$1:$A$42</definedName>
    <definedName name="a_54">WEO '[13]LINK'!$A$1:$A$42</definedName>
    <definedName name="a_55">WEO '[13]LINK'!$A$1:$A$42</definedName>
    <definedName name="a_56">WEO '[13]LINK'!$A$1:$A$42</definedName>
    <definedName name="a_57">WEO '[13]LINK'!$A$1:$A$42</definedName>
    <definedName name="a_61">WEO '[13]LINK'!$A$1:$A$42</definedName>
    <definedName name="a_64">WEO '[13]LINK'!$A$1:$A$42</definedName>
    <definedName name="a_65">WEO '[13]LINK'!$A$1:$A$42</definedName>
    <definedName name="a_66">WEO '[13]LINK'!$A$1:$A$42</definedName>
    <definedName name="a47">WEO '[13]LINK'!$A$1:$A$42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'[14]Montabs'!$B$88:$CO$425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'[15]BFtab10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'[16]WEO'!#REF!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'[17]BNKLOANS_old'!$A$1:$F$40</definedName>
    <definedName name="bas1">'[18]data input'!#REF!</definedName>
    <definedName name="bas2">'[18]data input'!#REF!</definedName>
    <definedName name="bas3">'[18]data input'!#REF!</definedName>
    <definedName name="BASDAT">'[19]Annual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'[18]data input'!#REF!</definedName>
    <definedName name="BasicData">#REF!</definedName>
    <definedName name="basII">'[18]data input'!#REF!</definedName>
    <definedName name="basIII">'[18]data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'[27]BoP'!#REF!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'[17]CBANK_old'!$A$1:$M$48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'[13]LINK'!$A$1:$A$42</definedName>
    <definedName name="CHART2_11">#REF!</definedName>
    <definedName name="chart2_15">WEO '[13]LINK'!$A$1:$A$42</definedName>
    <definedName name="chart2_17">WEO '[13]LINK'!$A$1:$A$42</definedName>
    <definedName name="chart2_20">WEO '[13]LINK'!$A$1:$A$42</definedName>
    <definedName name="chart2_22">WEO '[13]LINK'!$A$1:$A$42</definedName>
    <definedName name="chart2_24">WEO '[13]LINK'!$A$1:$A$42</definedName>
    <definedName name="chart2_28">WEO '[13]LINK'!$A$1:$A$42</definedName>
    <definedName name="chart2_37">WEO '[13]LINK'!$A$1:$A$42</definedName>
    <definedName name="chart2_38">WEO '[13]LINK'!$A$1:$A$42</definedName>
    <definedName name="chart2_46">WEO '[13]LINK'!$A$1:$A$42</definedName>
    <definedName name="chart2_47">WEO '[13]LINK'!$A$1:$A$42</definedName>
    <definedName name="chart2_49">WEO '[13]LINK'!$A$1:$A$42</definedName>
    <definedName name="chart2_54">WEO '[13]LINK'!$A$1:$A$42</definedName>
    <definedName name="chart2_55">WEO '[13]LINK'!$A$1:$A$42</definedName>
    <definedName name="chart2_56">WEO '[13]LINK'!$A$1:$A$42</definedName>
    <definedName name="chart2_57">WEO '[13]LINK'!$A$1:$A$42</definedName>
    <definedName name="chart2_61">WEO '[13]LINK'!$A$1:$A$42</definedName>
    <definedName name="chart2_64">WEO '[13]LINK'!$A$1:$A$42</definedName>
    <definedName name="chart2_65">WEO '[13]LINK'!$A$1:$A$42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5.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'[15]BFtab10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'[14]corresp'!$A$1:$B$37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'[33]REER Forecast'!#REF!</definedName>
    <definedName name="CPIindex">'[33]REER Forecast'!#REF!</definedName>
    <definedName name="CPImonth">'[33]REER Forecast'!#REF!</definedName>
    <definedName name="CSBT">'[14]Montabs'!$B$88:$CQ$150</definedName>
    <definedName name="CSBTN">'[14]Montabs'!$B$153:$CO$202</definedName>
    <definedName name="CSBTR">'[14]Montabs'!$B$203:$CO$243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N__4.1.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'[42]EU2DBase'!$B$14:$B$31</definedName>
    <definedName name="DATESATKM">#REF!</definedName>
    <definedName name="DATESM">'[42]EU2DBase'!$B$88:$B$196</definedName>
    <definedName name="DATESMTKM">#REF!</definedName>
    <definedName name="DATESQ">'[42]EU2DBase'!$B$49:$B$72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'[43]Debt_Total'!#REF!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'[44]NPV_base'!#REF!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'[45]Contents'!$B$78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'[46]WEO LINK'!#REF!</definedName>
    <definedName name="EDN_11">'[47]WEO LINK'!#REF!</definedName>
    <definedName name="EDN_66">'[47]WEO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'[45]Contents'!$B$73</definedName>
    <definedName name="EDSSDESCRIPTOR_14">#REF!</definedName>
    <definedName name="EDSSDESCRIPTOR_25">#REF!</definedName>
    <definedName name="EDSSDESCRIPTOR_28">#REF!</definedName>
    <definedName name="EDSSFILE">'[45]Contents'!$B$77</definedName>
    <definedName name="EDSSFILE_14">#REF!</definedName>
    <definedName name="EDSSFILE_25">#REF!</definedName>
    <definedName name="EDSSFILE_28">#REF!</definedName>
    <definedName name="EDSSNAME">'[45]Contents'!$B$72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'[45]Contents'!$B$81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'[45]Contents'!$B$74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'[17]EMPLOY_old'!$A$1:$I$52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'[49]Q5'!$A:$C,'[49]Q5'!$1:$7</definedName>
    <definedName name="Exch.Rate">#REF!</definedName>
    <definedName name="exchrate">#REF!</definedName>
    <definedName name="ExitWRS">'[50]Main'!$AB$27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'[51]Q'!$D$52:$O$103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>WEO '[13]LINK'!$A$1:$A$42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'[18]data input'!#REF!</definedName>
    <definedName name="fsan2">'[18]data input'!#REF!</definedName>
    <definedName name="fsan3">'[18]data input'!#REF!</definedName>
    <definedName name="fsI">'[18]data input'!#REF!</definedName>
    <definedName name="fsII">'[18]data input'!#REF!</definedName>
    <definedName name="fsIII">'[18]data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'[44]NPV_base'!#REF!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N_10.2.4.">#REF!</definedName>
    <definedName name="GRAND_TOTAL">#REF!</definedName>
    <definedName name="GRAPHS">'[14]interv'!$A$1:$H$23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'[27]Input'!#REF!</definedName>
    <definedName name="INPUT_4">'[27]Input'!#REF!</definedName>
    <definedName name="int">#REF!</definedName>
    <definedName name="INTER_CRED">#REF!</definedName>
    <definedName name="INTER_DEPO">#REF!</definedName>
    <definedName name="INTEREST">'[17]INT_RATES_old'!$A$1:$I$35</definedName>
    <definedName name="Interest_IDA">#REF!</definedName>
    <definedName name="Interest_NC">'[44]NPV_base'!#REF!</definedName>
    <definedName name="InterestRate">#REF!</definedName>
    <definedName name="invtab">'[15]BFtab10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'[51]EU'!$BS$29:$CB$88</definedName>
    <definedName name="Maturity_IDA">#REF!</definedName>
    <definedName name="Maturity_NC">'[44]NPV_base'!#REF!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'[59]Q2'!$E$63:$AH$63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'[19]Annual Raw Data'!#REF!</definedName>
    <definedName name="mflowsa">mflowsa</definedName>
    <definedName name="mflowsq">mflowsq</definedName>
    <definedName name="mgoods">'[24]CAgds'!$D$14:$BO$14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'[14]monimp'!$A$88:$F$92</definedName>
    <definedName name="MIMPALL">'[14]monimp'!$A$67:$F$88</definedName>
    <definedName name="minc">'[24]CAinc'!$D$14:$BO$14</definedName>
    <definedName name="minc_11">'[60]CAinc'!$D$14:$BO$14</definedName>
    <definedName name="MISC3">#REF!</definedName>
    <definedName name="MISC4">'[27]OUTPUT'!#REF!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'[14]Montabs'!$B$315:$CO$371</definedName>
    <definedName name="MONSURR">'[14]Montabs'!$B$374:$CO$425</definedName>
    <definedName name="MONSURVEY">'[14]Montabs'!$B$243:$CQ$311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'[19]Annual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'[15]BFtab10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'[42]EU2DBase'!#REF!</definedName>
    <definedName name="NAMESM">'[42]EU2DBase'!#REF!</definedName>
    <definedName name="NAMESQ">'[42]EU2DBase'!#REF!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'[59]Q2'!$E$47:$AH$47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'[14]junk'!$A$108:$F$137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'[19]Index'!#REF!</definedName>
    <definedName name="PAG3">'[19]Index'!#REF!</definedName>
    <definedName name="PAG4">'[19]Index'!#REF!</definedName>
    <definedName name="PAG5">'[19]Index'!#REF!</definedName>
    <definedName name="PAG6">'[19]Index'!#REF!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'[15]BFtab10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'[33]REER Forecast'!#REF!</definedName>
    <definedName name="PPPI95">'[66]WPI'!#REF!</definedName>
    <definedName name="PPPWGT">NA()</definedName>
    <definedName name="PRICES">#REF!</definedName>
    <definedName name="print_aea">#REF!</definedName>
    <definedName name="_xlnm.Print_Area" localSheetId="0">' bgc ian  2013 '!$A$3:$Q$99</definedName>
    <definedName name="PRINT_AREA_MI">'[42]EU2DBase'!$C$12:$U$156</definedName>
    <definedName name="Print_Area1">'[67]Tab16_2000_'!$A$1:$G$33</definedName>
    <definedName name="Print_Area2">'[67]Tab16_2000_'!$A$1:$G$33</definedName>
    <definedName name="Print_Area3">'[67]Tab16_2000_'!$A$1:$G$33</definedName>
    <definedName name="_xlnm.Print_Titles" localSheetId="0">' bgc ian  2013 '!$9:$16</definedName>
    <definedName name="PRINT_TITLES_MI">#REF!</definedName>
    <definedName name="Print1">'[68]DATA'!$A$2:$BK$75</definedName>
    <definedName name="Print2">'[68]DATA'!$A$77:$AX$111</definedName>
    <definedName name="Print3">'[68]DATA'!$A$112:$CH$112</definedName>
    <definedName name="Print4">'[68]DATA'!$A$113:$AX$125</definedName>
    <definedName name="Print5">'[68]DATA'!$A$128:$AM$133</definedName>
    <definedName name="Print6">'[68]DATA'!#REF!</definedName>
    <definedName name="Print6_9">'[68]DATA'!$A$135:$N$199</definedName>
    <definedName name="printme">#REF!</definedName>
    <definedName name="PRINTNMP">#REF!</definedName>
    <definedName name="PrintThis_Links">'[50]Links'!$A$1:$F$33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'[69]2001_02 Debt Service :Debtind'!$B$2:$J$72</definedName>
    <definedName name="PROJ">'[69]MT_Low:XMS'!$B$2:$N$57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'[70]GRAFPROM'!#REF!</definedName>
    <definedName name="ProposedCredits">#REF!</definedName>
    <definedName name="prt">'[14]real'!$A$1:$V$98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'[19]Quarterly Raw Data'!#REF!</definedName>
    <definedName name="QTAB7">'[19]Quarterly MacroFlow'!#REF!</definedName>
    <definedName name="QTAB7A">'[19]Quarterly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'[13]LINK'!$A$1:$A$42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'[71]OUT'!$L$46:$S$88</definedName>
    <definedName name="REA_SEC">'[71]OUT'!$L$191:$S$218</definedName>
    <definedName name="REAL">#REF!</definedName>
    <definedName name="REAL_SAV">'[71]OUT'!$L$8:$S$30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'[14]Montabs'!$B$482:$AJ$533</definedName>
    <definedName name="REDCBACC">'[14]Montabs'!$B$482:$AM$533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'[14]Montabs'!$B$537:$AM$589</definedName>
    <definedName name="REDMS">'[14]Montabs'!$B$536:$AJ$589</definedName>
    <definedName name="REDTab10">'[72]Documents'!$B$454:$H$501</definedName>
    <definedName name="REDTab35">'[73]RED'!#REF!</definedName>
    <definedName name="REDTab43a">#REF!</definedName>
    <definedName name="REDTab43b">#REF!</definedName>
    <definedName name="REDTab6">'[72]Documents'!$B$273:$G$320</definedName>
    <definedName name="REDTab8">'[72]Documents'!$B$349:$G$383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'[45]Contents'!$B$79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'[27]RES'!#REF!</definedName>
    <definedName name="RetrieveMode">'[74]Setup'!$A$1:$A$3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'[50]Main'!$AB$28</definedName>
    <definedName name="rngDepartmentDrive">'[50]Main'!$AB$25</definedName>
    <definedName name="rngEMailAddress">'[50]Main'!$AB$22</definedName>
    <definedName name="rngErrorSort">'[50]ErrCheck'!$A$4</definedName>
    <definedName name="rngLastSave">'[50]Main'!$G$21</definedName>
    <definedName name="rngLastSent">'[50]Main'!$G$20</definedName>
    <definedName name="rngLastUpdate">'[50]Links'!$D$2</definedName>
    <definedName name="rngNeedsUpdate">'[50]Links'!$E$2</definedName>
    <definedName name="rngNews">'[50]Main'!$AB$29</definedName>
    <definedName name="RNGNM">#REF!</definedName>
    <definedName name="rngQuestChecked">'[50]ErrCheck'!$A$3</definedName>
    <definedName name="ROMBOP">#REF!</definedName>
    <definedName name="rquarterly">#REF!</definedName>
    <definedName name="rXDR">#REF!</definedName>
    <definedName name="s92">#REF!</definedName>
    <definedName name="S95_">#REF!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'[12]Output data'!#REF!</definedName>
    <definedName name="SEK">#REF!</definedName>
    <definedName name="SEL_AGRI">'[17]AGRI_old'!$A$1:$S$22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'[71]IN'!$B$22:$S$49</definedName>
    <definedName name="SHEETNAME_11">#REF!</definedName>
    <definedName name="Simple">#REF!</definedName>
    <definedName name="sitab">#REF!</definedName>
    <definedName name="sitab_11">#REF!</definedName>
    <definedName name="som1">'[18]data input'!#REF!</definedName>
    <definedName name="som2">'[18]data input'!#REF!</definedName>
    <definedName name="som3">'[18]data input'!#REF!</definedName>
    <definedName name="somI">'[18]data input'!#REF!</definedName>
    <definedName name="somII">'[18]data input'!#REF!</definedName>
    <definedName name="somIII">'[18]data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'[12]Output data'!#REF!</definedName>
    <definedName name="SRTab6">#REF!</definedName>
    <definedName name="SRTab7">'[73]RED'!#REF!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'[75]IMATA'!$B$45:$B$108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'[18]data input'!#REF!</definedName>
    <definedName name="stat2">'[18]data input'!#REF!</definedName>
    <definedName name="stat3">'[18]data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'[18]data input'!#REF!</definedName>
    <definedName name="statII">'[18]data input'!#REF!</definedName>
    <definedName name="statIII">'[18]data input'!#REF!</definedName>
    <definedName name="Stocks_Dates">'[76]a45'!#REF!</definedName>
    <definedName name="Stocks_Form">'[76]a45'!#REF!</definedName>
    <definedName name="Stocks_IDs">'[76]a45'!#REF!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'[72]Prices'!$A$99:$J$131</definedName>
    <definedName name="T11IMW">'[72]Labor'!$B$3:$J$45</definedName>
    <definedName name="T12ULC">'[72]Labor'!$B$53:$J$97</definedName>
    <definedName name="T13LFE">'[72]Labor'!$B$155:$I$200</definedName>
    <definedName name="T14EPE">'[72]Labor'!$B$256:$J$309</definedName>
    <definedName name="T15ROP">#REF!</definedName>
    <definedName name="T16OPU">#REF!</definedName>
    <definedName name="t1a">#REF!</definedName>
    <definedName name="t2a">#REF!</definedName>
    <definedName name="T2YSECREA">'[77]GDPSEC'!$A$11:$M$80</definedName>
    <definedName name="t3a">#REF!</definedName>
    <definedName name="T3YSECNOM">'[77]GDPSEC'!$A$93:$M$153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'[72]Prices'!$A$3:$R$47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'[78]RED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'[78]RED tables'!#REF!</definedName>
    <definedName name="tab23">#REF!</definedName>
    <definedName name="tab23_11">'[78]RED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'[78]RED tables'!#REF!</definedName>
    <definedName name="tab24">#REF!</definedName>
    <definedName name="tab24_11">'[78]RED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'[78]RED tables'!#REF!</definedName>
    <definedName name="tab25">#REF!</definedName>
    <definedName name="tab25_11">'[78]RED tables'!#REF!</definedName>
    <definedName name="tab25_20">#REF!</definedName>
    <definedName name="tab25_28">#REF!</definedName>
    <definedName name="tab25_66">'[78]RED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'[79]E'!$A$1:$AK$43</definedName>
    <definedName name="tab4_14">#REF!</definedName>
    <definedName name="tab4_2">#REF!</definedName>
    <definedName name="tab4_25">#REF!</definedName>
    <definedName name="tab4_28">#REF!</definedName>
    <definedName name="TAB4_66">'[79]E'!$A$1:$AK$43</definedName>
    <definedName name="tab43">#REF!</definedName>
    <definedName name="tab44">#REF!</definedName>
    <definedName name="TAB4A">'[79]E'!$B$102:$AK$153</definedName>
    <definedName name="TAB4B">'[79]E'!$B$48:$AK$100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'[19]Annual Tables'!#REF!</definedName>
    <definedName name="TAB6B">'[19]Annual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'[80]Table'!$A$1:$AA$81</definedName>
    <definedName name="Table__47">'[81]RED47'!$A$1:$I$53</definedName>
    <definedName name="Table_1">#REF!</definedName>
    <definedName name="Table_1.__Armenia__Selected_Economic_Indicators">'[17]SEI_OLD'!$A$1:$G$59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'[17]LABORMKT_OLD'!$A$1:$O$37</definedName>
    <definedName name="table_11">#REF!</definedName>
    <definedName name="Table_11._Armenia___Average_Monthly_Wages_in_the_State_Sector__1994_99__1">'[17]WAGES_old'!$A$1:$F$63</definedName>
    <definedName name="Table_12.__Armenia__Labor_Force__Employment__and_Unemployment__1994_99">'[17]EMPLOY_old'!$A$1:$H$53</definedName>
    <definedName name="Table_13._Armenia___Employment_in_the_Public_Sector__1994_99">'[17]EMPL_PUBL_old'!$A$1:$F$27</definedName>
    <definedName name="Table_14">#REF!</definedName>
    <definedName name="Table_14._Armenia___Budgetary_Sector_Employment__1994_99">'[17]EMPL_BUDG_old'!$A$1:$K$17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'[17]EXPEN_old'!$A$1:$F$25</definedName>
    <definedName name="Table_2.__Armenia___Real_Gross_Domestic_Product_Growth__1994_99">'[17]NGDP_R_old'!$A$1:$L$35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'[17]TAX_REV_old'!$A$1:$F$24</definedName>
    <definedName name="Table_21._Armenia___Accounts_of_the_Central_Bank__1994_99">'[17]CBANK_old'!$A$1:$U$46</definedName>
    <definedName name="Table_22._Armenia___Monetary_Survey__1994_99">'[17]MSURVEY_old'!$A$1:$Q$52</definedName>
    <definedName name="Table_23._Armenia___Commercial_Banks___Interest_Rates_for_Loans_and_Deposits_in_Drams_and_U.S._Dollars__1996_99">'[17]INT_RATES_old'!$A$1:$R$32</definedName>
    <definedName name="Table_24._Armenia___Treasury_Bills__1995_99">'[17]Tbill_old'!$A$1:$U$31</definedName>
    <definedName name="Table_25">#REF!</definedName>
    <definedName name="Table_25._Armenia___Quarterly_Balance_of_Payments_and_External_Financing__1995_99">'[17]BOP_Q_OLD'!$A$1:$F$74</definedName>
    <definedName name="Table_26._Armenia___Summary_External_Debt_Data__1995_99">'[17]EXTDEBT_OLD'!$A$1:$F$45</definedName>
    <definedName name="Table_27.__Armenia___Commodity_Composition_of_Trade__1995_99">'[17]COMP_TRADE'!$A$1:$F$29</definedName>
    <definedName name="Table_28._Armenia___Direction_of_Trade__1995_99">'[17]DOT'!$A$1:$F$66</definedName>
    <definedName name="Table_29._Armenia___Incorporatized_and_Partially_Privatized_Enterprises__1994_99">'[17]PRIVATE_OLD'!$A$1:$G$29</definedName>
    <definedName name="Table_3.__Armenia_Quarterly_Real_GDP_1997_99">'[17]GDP_q_old'!$A$1:$P$31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'[17]BNKIND_old'!$A$1:$M$16</definedName>
    <definedName name="Table_31._Armenia___Banking_Sector_Loans__1996_99">'[17]BNKLOANS_old'!$A$1:$O$40</definedName>
    <definedName name="Table_32._Armenia___Total_Electricity_Generation__Distribution_and_Collection__1994_99">'[17]ELECTR_old'!$A$1:$F$51</definedName>
    <definedName name="Table_33._General_Government_Tax_Revenue_in_Selected_BRO_Countries">#REF!</definedName>
    <definedName name="Table_34._General_Government_Tax_Revenue_Performance_in_Armenia_and_Comparator_Countries_1995___1998_1">'[17]taxrevSum'!$A$1:$F$52</definedName>
    <definedName name="Table_4.__Moldova____Monetary_Survey_and_Projections__1994_98_1">#REF!</definedName>
    <definedName name="Table_4._Armenia___Gross_Domestic_Product__1994_99">'[17]NGDP_old'!$A$1:$O$33</definedName>
    <definedName name="Table_4SR">#REF!</definedName>
    <definedName name="Table_5._Armenia___Production_of_Selected_Agricultural_Products__1994_99">'[17]AGRI_old'!$A$1:$S$22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'[17]INDCOM_old'!$A$1:$L$31</definedName>
    <definedName name="Table_7._Armenia___Consumer_Prices__1994_99">'[17]CPI_old'!$A$1:$I$102</definedName>
    <definedName name="Table_8.__Armenia___Selected_Energy_Prices__1994_99__1">'[17]ENERGY_old'!$A$1:$AF$25</definedName>
    <definedName name="Table_9._Armenia___Regulated_Prices_for_Main_Commodities_and_Services__1994_99__1">'[17]MAINCOM_old '!$A$1:$H$20</definedName>
    <definedName name="Table_debt">'[82]Table'!$A$3:$AB$70</definedName>
    <definedName name="Table_debt_14">#REF!</definedName>
    <definedName name="Table_debt_25">#REF!</definedName>
    <definedName name="Table_debt_new">'[83]Table'!$A$3:$AB$70</definedName>
    <definedName name="Table_debt_new_11">'[84]Table'!$A$3:$AB$70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'[71]Labor'!$A$1:$X$58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'[82]Table_GEF'!$B$2:$T$51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'[50]ErrCheck'!$A$3:$E$5</definedName>
    <definedName name="tblLinks">'[50]Links'!$A$4:$F$33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'[27]Trade'!#REF!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'[42]EU2DBase'!$C$1:$F$196</definedName>
    <definedName name="UKR2">'[42]EU2DBase'!$G$1:$U$196</definedName>
    <definedName name="UKR3">'[42]EU2DBase'!#REF!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'[45]Contents'!$B$80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'[14]Montabs:junk'!$B$17:$U$38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'[33]REER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'[60]CAgds'!$D$12:$BO$12</definedName>
    <definedName name="XGS">#REF!</definedName>
    <definedName name="xinc">'[24]CAinc'!$D$12:$BO$12</definedName>
    <definedName name="xinc_11">'[60]CAinc'!$D$12:$BO$12</definedName>
    <definedName name="xnfs">'[24]CAnfs'!$D$12:$BO$12</definedName>
    <definedName name="xnfs_11">'[60]CAnfs'!$D$12:$BO$12</definedName>
    <definedName name="XOF">#REF!</definedName>
    <definedName name="xr">#REF!</definedName>
    <definedName name="xxWRS_1">WEO '[13]LINK'!$A$1:$A$42</definedName>
    <definedName name="xxWRS_1_15">WEO '[13]LINK'!$A$1:$A$42</definedName>
    <definedName name="xxWRS_1_17">WEO '[13]LINK'!$A$1:$A$42</definedName>
    <definedName name="xxWRS_1_2">#REF!</definedName>
    <definedName name="xxWRS_1_20">WEO '[13]LINK'!$A$1:$A$42</definedName>
    <definedName name="xxWRS_1_22">WEO '[13]LINK'!$A$1:$A$42</definedName>
    <definedName name="xxWRS_1_24">WEO '[13]LINK'!$A$1:$A$42</definedName>
    <definedName name="xxWRS_1_28">WEO '[13]LINK'!$A$1:$A$42</definedName>
    <definedName name="xxWRS_1_37">WEO '[13]LINK'!$A$1:$A$42</definedName>
    <definedName name="xxWRS_1_38">WEO '[13]LINK'!$A$1:$A$42</definedName>
    <definedName name="xxWRS_1_46">WEO '[13]LINK'!$A$1:$A$42</definedName>
    <definedName name="xxWRS_1_47">WEO '[13]LINK'!$A$1:$A$42</definedName>
    <definedName name="xxWRS_1_49">WEO '[13]LINK'!$A$1:$A$42</definedName>
    <definedName name="xxWRS_1_54">WEO '[13]LINK'!$A$1:$A$42</definedName>
    <definedName name="xxWRS_1_55">WEO '[13]LINK'!$A$1:$A$42</definedName>
    <definedName name="xxWRS_1_56">WEO '[13]LINK'!$A$1:$A$42</definedName>
    <definedName name="xxWRS_1_57">WEO '[13]LINK'!$A$1:$A$42</definedName>
    <definedName name="xxWRS_1_61">WEO '[13]LINK'!$A$1:$A$42</definedName>
    <definedName name="xxWRS_1_63">WEO '[13]LINK'!$A$1:$A$42</definedName>
    <definedName name="xxWRS_1_64">WEO '[13]LINK'!$A$1:$A$42</definedName>
    <definedName name="xxWRS_1_65">WEO '[13]LINK'!$A$1:$A$42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'[85]Table'!$A$3:$AB$70</definedName>
    <definedName name="xxxxx_11">'[86]Table'!$A$3:$AB$70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'[87]ass'!$7:$7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'[88]oth'!$17:$17</definedName>
    <definedName name="zRoWCPIchange">#REF!</definedName>
    <definedName name="zRoWCPIchange_14">#REF!</definedName>
    <definedName name="zRoWCPIchange_25">#REF!</definedName>
    <definedName name="zSDReRate">'[88]ass'!$24:$24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'[89]до викупа'!$E$664</definedName>
  </definedNames>
  <calcPr fullCalcOnLoad="1"/>
</workbook>
</file>

<file path=xl/comments1.xml><?xml version="1.0" encoding="utf-8"?>
<comments xmlns="http://schemas.openxmlformats.org/spreadsheetml/2006/main">
  <authors>
    <author>u</author>
    <author>Administrator</author>
    <author>User</author>
    <author>Alina</author>
  </authors>
  <commentList>
    <comment ref="M47" authorId="0">
      <text>
        <r>
          <rPr>
            <sz val="12"/>
            <color indexed="8"/>
            <rFont val="Times New Roman"/>
            <family val="1"/>
          </rPr>
          <t>se consolideaza granturile, se regasesc la fonduri externe nerambursabile, pe tran
sporturi</t>
        </r>
      </text>
    </comment>
    <comment ref="M83" authorId="0">
      <text>
        <r>
          <rPr>
            <b/>
            <sz val="10"/>
            <color indexed="17"/>
            <rFont val="Times New Roman"/>
            <family val="1"/>
          </rPr>
          <t xml:space="preserve">alina_r:
</t>
        </r>
        <r>
          <rPr>
            <sz val="11"/>
            <color indexed="17"/>
            <rFont val="Times New Roman"/>
            <family val="1"/>
          </rPr>
          <t>se verifica cu soldul de la CNADR , total deficit pe coloana de transferuri intre bugete</t>
        </r>
        <r>
          <rPr>
            <sz val="8"/>
            <color indexed="8"/>
            <rFont val="Times New Roman"/>
            <family val="1"/>
          </rPr>
          <t xml:space="preserve">
</t>
        </r>
      </text>
    </comment>
    <comment ref="C33" authorId="1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cote de la stat
</t>
        </r>
      </text>
    </comment>
    <comment ref="M44" authorId="0">
      <text>
        <r>
          <rPr>
            <b/>
            <sz val="8"/>
            <color indexed="8"/>
            <rFont val="Times New Roman"/>
            <family val="1"/>
          </rPr>
          <t xml:space="preserve">alina_r:
</t>
        </r>
        <r>
          <rPr>
            <sz val="8"/>
            <color indexed="8"/>
            <rFont val="Times New Roman"/>
            <family val="1"/>
          </rPr>
          <t xml:space="preserve">se consolideaza </t>
        </r>
        <r>
          <rPr>
            <sz val="12"/>
            <color indexed="8"/>
            <rFont val="Times New Roman"/>
            <family val="1"/>
          </rPr>
          <t>dobanda 
din trezorerie</t>
        </r>
        <r>
          <rPr>
            <sz val="8"/>
            <color indexed="8"/>
            <rFont val="Times New Roman"/>
            <family val="1"/>
          </rPr>
          <t xml:space="preserve">
</t>
        </r>
      </text>
    </comment>
    <comment ref="M32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impozit pe profit fondul proprietatea</t>
        </r>
      </text>
    </comment>
    <comment ref="T69" authorId="3">
      <text>
        <r>
          <rPr>
            <b/>
            <sz val="10"/>
            <rFont val="Tahoma"/>
            <family val="0"/>
          </rPr>
          <t>Alina:</t>
        </r>
        <r>
          <rPr>
            <sz val="10"/>
            <rFont val="Tahoma"/>
            <family val="0"/>
          </rPr>
          <t xml:space="preserve">
la noiembrie</t>
        </r>
      </text>
    </comment>
    <comment ref="D26" authorId="3">
      <text>
        <r>
          <rPr>
            <b/>
            <sz val="10"/>
            <rFont val="Tahoma"/>
            <family val="0"/>
          </rPr>
          <t>Alina:</t>
        </r>
        <r>
          <rPr>
            <sz val="10"/>
            <rFont val="Tahoma"/>
            <family val="0"/>
          </rPr>
          <t xml:space="preserve">
+5,8 FEN
</t>
        </r>
      </text>
    </comment>
    <comment ref="E26" authorId="3">
      <text>
        <r>
          <rPr>
            <b/>
            <sz val="10"/>
            <rFont val="Tahoma"/>
            <family val="0"/>
          </rPr>
          <t>Alina:</t>
        </r>
        <r>
          <rPr>
            <sz val="10"/>
            <rFont val="Tahoma"/>
            <family val="0"/>
          </rPr>
          <t xml:space="preserve">
se aduga fen de primit
</t>
        </r>
      </text>
    </comment>
    <comment ref="D43" authorId="2">
      <text>
        <r>
          <rPr>
            <sz val="9"/>
            <color indexed="10"/>
            <rFont val="Tahoma"/>
            <family val="2"/>
          </rPr>
          <t>+ …..
 deduceri ANAF</t>
        </r>
      </text>
    </comment>
    <comment ref="E43" authorId="2">
      <text>
        <r>
          <rPr>
            <sz val="9"/>
            <color indexed="10"/>
            <rFont val="Tahoma"/>
            <family val="2"/>
          </rPr>
          <t>+ …..
 deduceri ANAF</t>
        </r>
      </text>
    </comment>
    <comment ref="F43" authorId="2">
      <text>
        <r>
          <rPr>
            <sz val="9"/>
            <color indexed="10"/>
            <rFont val="Tahoma"/>
            <family val="2"/>
          </rPr>
          <t>+ ……. 
deduceri ANAF</t>
        </r>
      </text>
    </comment>
    <comment ref="H44" authorId="2">
      <text>
        <r>
          <rPr>
            <sz val="9"/>
            <rFont val="Tahoma"/>
            <family val="2"/>
          </rPr>
          <t>+1026,292 
 fd stimulente de adaugat !!!</t>
        </r>
      </text>
    </comment>
    <comment ref="H45" authorId="2">
      <text>
        <r>
          <rPr>
            <sz val="10"/>
            <color indexed="10"/>
            <rFont val="Tahoma"/>
            <family val="2"/>
          </rPr>
          <t xml:space="preserve">+ academia ???
</t>
        </r>
      </text>
    </comment>
    <comment ref="D48" authorId="3">
      <text>
        <r>
          <rPr>
            <b/>
            <sz val="10"/>
            <rFont val="Tahoma"/>
            <family val="0"/>
          </rPr>
          <t>Alina:</t>
        </r>
        <r>
          <rPr>
            <sz val="10"/>
            <rFont val="Tahoma"/>
            <family val="0"/>
          </rPr>
          <t xml:space="preserve">
in executie 15,691
</t>
        </r>
      </text>
    </comment>
    <comment ref="E48" authorId="3">
      <text>
        <r>
          <rPr>
            <b/>
            <sz val="10"/>
            <rFont val="Tahoma"/>
            <family val="0"/>
          </rPr>
          <t>Alina:</t>
        </r>
        <r>
          <rPr>
            <sz val="10"/>
            <rFont val="Tahoma"/>
            <family val="0"/>
          </rPr>
          <t xml:space="preserve">
se aduga fen de primit
44,337 in executie
</t>
        </r>
      </text>
    </comment>
    <comment ref="F48" authorId="3">
      <text>
        <r>
          <rPr>
            <b/>
            <sz val="10"/>
            <rFont val="Tahoma"/>
            <family val="0"/>
          </rPr>
          <t>Alina:</t>
        </r>
        <r>
          <rPr>
            <sz val="10"/>
            <rFont val="Tahoma"/>
            <family val="0"/>
          </rPr>
          <t xml:space="preserve">
+12 FEN
0 in executie
</t>
        </r>
      </text>
    </comment>
    <comment ref="H48" authorId="3">
      <text>
        <r>
          <rPr>
            <b/>
            <sz val="10"/>
            <rFont val="Tahoma"/>
            <family val="0"/>
          </rPr>
          <t>Alina:</t>
        </r>
        <r>
          <rPr>
            <sz val="10"/>
            <rFont val="Tahoma"/>
            <family val="0"/>
          </rPr>
          <t xml:space="preserve">
+197,6
</t>
        </r>
      </text>
    </comment>
    <comment ref="H64" authorId="2">
      <text>
        <r>
          <rPr>
            <sz val="9"/>
            <rFont val="Tahoma"/>
            <family val="2"/>
          </rPr>
          <t>+</t>
        </r>
        <r>
          <rPr>
            <sz val="9"/>
            <color indexed="14"/>
            <rFont val="Tahoma"/>
            <family val="2"/>
          </rPr>
          <t xml:space="preserve"> 785,92</t>
        </r>
        <r>
          <rPr>
            <sz val="9"/>
            <rFont val="Tahoma"/>
            <family val="2"/>
          </rPr>
          <t xml:space="preserve">
fd stimulente 
de adaugat 
</t>
        </r>
      </text>
    </comment>
    <comment ref="B70" authorId="2">
      <text>
        <r>
          <rPr>
            <b/>
            <sz val="8"/>
            <rFont val="Tahoma"/>
            <family val="0"/>
          </rPr>
          <t>U</t>
        </r>
        <r>
          <rPr>
            <b/>
            <sz val="10"/>
            <color indexed="10"/>
            <rFont val="Tahoma"/>
            <family val="2"/>
          </rPr>
          <t>ser:</t>
        </r>
        <r>
          <rPr>
            <sz val="10"/>
            <color indexed="10"/>
            <rFont val="Tahoma"/>
            <family val="2"/>
          </rPr>
          <t xml:space="preserve">
MT (356+4,7)
SI MFP(200)
</t>
        </r>
      </text>
    </comment>
    <comment ref="D72" authorId="2">
      <text>
        <r>
          <rPr>
            <b/>
            <sz val="9"/>
            <color indexed="10"/>
            <rFont val="Tahoma"/>
            <family val="2"/>
          </rPr>
          <t xml:space="preserve">+ …...
</t>
        </r>
        <r>
          <rPr>
            <sz val="9"/>
            <color indexed="10"/>
            <rFont val="Tahoma"/>
            <family val="2"/>
          </rPr>
          <t xml:space="preserve"> deduceri ANAF
</t>
        </r>
      </text>
    </comment>
    <comment ref="E72" authorId="2">
      <text>
        <r>
          <rPr>
            <sz val="9"/>
            <color indexed="10"/>
            <rFont val="Tahoma"/>
            <family val="2"/>
          </rPr>
          <t>+ …..
 deduceri ANAF</t>
        </r>
      </text>
    </comment>
    <comment ref="F72" authorId="2">
      <text>
        <r>
          <rPr>
            <sz val="9"/>
            <color indexed="10"/>
            <rFont val="Tahoma"/>
            <family val="2"/>
          </rPr>
          <t>+ 
 deduceri ANAF</t>
        </r>
      </text>
    </comment>
    <comment ref="A18" authorId="2">
      <text>
        <r>
          <rPr>
            <sz val="10"/>
            <color indexed="10"/>
            <rFont val="Tahoma"/>
            <family val="2"/>
          </rPr>
          <t>+   156.5 rap Flo</t>
        </r>
      </text>
    </comment>
    <comment ref="B8" authorId="2">
      <text>
        <r>
          <rPr>
            <sz val="10"/>
            <color indexed="10"/>
            <rFont val="Tahoma"/>
            <family val="2"/>
          </rPr>
          <t>+   156.5 rap Flo</t>
        </r>
      </text>
    </comment>
    <comment ref="B48" authorId="2">
      <text>
        <r>
          <rPr>
            <sz val="10"/>
            <color indexed="10"/>
            <rFont val="Tahoma"/>
            <family val="2"/>
          </rPr>
          <t>+   156.5 rap Flo</t>
        </r>
      </text>
    </comment>
    <comment ref="D25" authorId="3">
      <text>
        <r>
          <rPr>
            <b/>
            <sz val="10"/>
            <rFont val="Tahoma"/>
            <family val="0"/>
          </rPr>
          <t>Alina:</t>
        </r>
        <r>
          <rPr>
            <sz val="10"/>
            <rFont val="Tahoma"/>
            <family val="0"/>
          </rPr>
          <t xml:space="preserve">
in executie 15,691
</t>
        </r>
      </text>
    </comment>
    <comment ref="E25" authorId="3">
      <text>
        <r>
          <rPr>
            <b/>
            <sz val="10"/>
            <rFont val="Tahoma"/>
            <family val="0"/>
          </rPr>
          <t>Alina:</t>
        </r>
        <r>
          <rPr>
            <sz val="10"/>
            <rFont val="Tahoma"/>
            <family val="0"/>
          </rPr>
          <t xml:space="preserve">
se aduga fen de primit
44,337 in executie
</t>
        </r>
      </text>
    </comment>
  </commentList>
</comments>
</file>

<file path=xl/sharedStrings.xml><?xml version="1.0" encoding="utf-8"?>
<sst xmlns="http://schemas.openxmlformats.org/spreadsheetml/2006/main" count="122" uniqueCount="113">
  <si>
    <t xml:space="preserve">BUGETUL GENERAL  CONSOLIDAT </t>
  </si>
  <si>
    <t>feb-martie</t>
  </si>
  <si>
    <t xml:space="preserve">Realizari 01.01 - 31.01.2013 </t>
  </si>
  <si>
    <t>PIB 2012 INITIAl</t>
  </si>
  <si>
    <t>ianuarie</t>
  </si>
  <si>
    <t>PIB 2013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</si>
  <si>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</si>
  <si>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</si>
  <si>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</si>
  <si>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</si>
  <si>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</si>
  <si>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</si>
  <si>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</si>
  <si>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</si>
  <si>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</si>
  <si>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</si>
  <si>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 xml:space="preserve">de 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</si>
  <si>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</si>
  <si>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</si>
  <si>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</si>
  <si>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</si>
  <si>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</si>
  <si>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</si>
  <si>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</si>
  <si>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</si>
  <si>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</si>
  <si>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</si>
  <si>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</si>
  <si>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</si>
  <si>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</si>
  <si>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</si>
  <si>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</si>
  <si>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</si>
  <si>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</si>
  <si>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</si>
  <si>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</si>
  <si>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</si>
  <si>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</si>
  <si>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</si>
  <si>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</si>
  <si>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</si>
  <si>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</si>
  <si>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 xml:space="preserve">somaj </t>
  </si>
  <si>
    <t xml:space="preserve"> asigurari </t>
  </si>
  <si>
    <t xml:space="preserve"> finantate </t>
  </si>
  <si>
    <t xml:space="preserve">bursabile </t>
  </si>
  <si>
    <t xml:space="preserve"> autostrazi 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</si>
  <si>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</si>
  <si>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</si>
  <si>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</si>
  <si>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</si>
  <si>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</si>
  <si>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</si>
  <si>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si drumuri </t>
  </si>
  <si>
    <t>Sume</t>
  </si>
  <si>
    <t>% din PIB</t>
  </si>
  <si>
    <t xml:space="preserve"> sanatate </t>
  </si>
  <si>
    <t xml:space="preserve"> partial din </t>
  </si>
  <si>
    <t xml:space="preserve"> nationale </t>
  </si>
  <si>
    <t xml:space="preserve">venituri </t>
  </si>
  <si>
    <t>proprii</t>
  </si>
  <si>
    <t>sume in curs de distrib</t>
  </si>
  <si>
    <t>deduceri</t>
  </si>
  <si>
    <t>sume UE in executie</t>
  </si>
  <si>
    <t>sume adaugate pe 45</t>
  </si>
  <si>
    <t xml:space="preserve">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</si>
  <si>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</si>
  <si>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</si>
  <si>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</si>
  <si>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</si>
  <si>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</si>
  <si>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</si>
  <si>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</si>
  <si>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</si>
  <si>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</si>
  <si>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</si>
  <si>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</si>
  <si>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Taxa pe utilizarea bunurilor, autorizarea utilizarii bunurilor sau pe  desfasurarea de activitati </t>
  </si>
  <si>
    <t>Impozitul pe comertul exterior (taxe vamale)</t>
  </si>
  <si>
    <t>Alte impozite si taxe fiscale</t>
  </si>
  <si>
    <t xml:space="preserve">Contributii de asigurari </t>
  </si>
  <si>
    <t>Venituri nefiscale</t>
  </si>
  <si>
    <t xml:space="preserve">Subventii </t>
  </si>
  <si>
    <t>Venituri din capital</t>
  </si>
  <si>
    <t>Donatii</t>
  </si>
  <si>
    <t xml:space="preserve">Sume de la UE in contul platilor efectuate </t>
  </si>
  <si>
    <t xml:space="preserve">   sume din top-up</t>
  </si>
  <si>
    <t>Operatiuni financiare</t>
  </si>
  <si>
    <t xml:space="preserve">Incasari din rambursarea, imprumuturilor </t>
  </si>
  <si>
    <t>Sume incasate in contul unic, la bugetul de stat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</si>
  <si>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</si>
  <si>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</si>
  <si>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</si>
  <si>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</si>
  <si>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</si>
  <si>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</si>
  <si>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</si>
  <si>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</si>
  <si>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</si>
  <si>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</si>
  <si>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</si>
  <si>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</si>
  <si>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</si>
  <si>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</si>
  <si>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</si>
  <si>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</si>
  <si>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</si>
  <si>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</si>
  <si>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</si>
  <si>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</si>
  <si>
    <t>venituri</t>
  </si>
  <si>
    <t>cheltuieli</t>
  </si>
  <si>
    <t>influente</t>
  </si>
</sst>
</file>

<file path=xl/styles.xml><?xml version="1.0" encoding="utf-8"?>
<styleSheet xmlns="http://schemas.openxmlformats.org/spreadsheetml/2006/main">
  <numFmts count="7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_);\(#,##0.0\)"/>
    <numFmt numFmtId="165" formatCode="#,##0.0"/>
    <numFmt numFmtId="166" formatCode="#,##0.000"/>
    <numFmt numFmtId="167" formatCode="0.0"/>
    <numFmt numFmtId="168" formatCode="#,##0.0000"/>
    <numFmt numFmtId="169" formatCode="#,##0.00000"/>
    <numFmt numFmtId="170" formatCode="0.000"/>
    <numFmt numFmtId="171" formatCode="#,##0.000000"/>
    <numFmt numFmtId="172" formatCode="0.0%"/>
    <numFmt numFmtId="173" formatCode="_(* #,##0_);_(* \(#,##0\);_(* &quot;-&quot;??_);_(@_)"/>
    <numFmt numFmtId="174" formatCode="#,##0_);\(#,##0\)"/>
    <numFmt numFmtId="175" formatCode="\$#,##0_);[Red]&quot;($&quot;#,##0\)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General_)"/>
    <numFmt numFmtId="182" formatCode="0.000_)"/>
    <numFmt numFmtId="183" formatCode="#,##0.0;\-#,##0.0;&quot;--&quot;"/>
    <numFmt numFmtId="184" formatCode="#,##0&quot; лв&quot;;\-#,##0&quot; лв&quot;"/>
    <numFmt numFmtId="185" formatCode="mmmm\ d&quot;, &quot;yyyy"/>
    <numFmt numFmtId="186" formatCode="_-[$€-2]* #,##0.00_-;\-[$€-2]* #,##0.00_-;_-[$€-2]* \-??_-"/>
    <numFmt numFmtId="187" formatCode="_-* #,##0\ _F_t_-;\-* #,##0\ _F_t_-;_-* &quot;- &quot;_F_t_-;_-@_-"/>
    <numFmt numFmtId="188" formatCode="_-* #,##0.00\ _F_t_-;\-* #,##0.00\ _F_t_-;_-* \-??\ _F_t_-;_-@_-"/>
    <numFmt numFmtId="189" formatCode="#."/>
    <numFmt numFmtId="190" formatCode="#,##0&quot; Kč&quot;;\-#,##0&quot; Kč&quot;"/>
    <numFmt numFmtId="191" formatCode="_-* #,##0.00&quot; Kč&quot;_-;\-* #,##0.00&quot; Kč&quot;_-;_-* \-??&quot; Kč&quot;_-;_-@_-"/>
    <numFmt numFmtId="192" formatCode="_(* #,##0_);_(* \(#,##0\);_(* \-_);_(@_)"/>
    <numFmt numFmtId="193" formatCode="_(* #,##0.00_);_(* \(#,##0.00\);_(* \-??_);_(@_)"/>
    <numFmt numFmtId="194" formatCode="_-* #,##0.00\ _F_-;\-* #,##0.00\ _F_-;_-* \-??\ _F_-;_-@_-"/>
    <numFmt numFmtId="195" formatCode="\$#,##0_);&quot;($&quot;#,##0\)"/>
    <numFmt numFmtId="196" formatCode="_(\$* #,##0_);_(\$* \(#,##0\);_(\$* \-_);_(@_)"/>
    <numFmt numFmtId="197" formatCode="_(\$* #,##0.00_);_(\$* \(#,##0.00\);_(\$* \-??_);_(@_)"/>
    <numFmt numFmtId="198" formatCode="[&gt;=0.05]#,##0.0;[&lt;=-0.05]\-#,##0.0;?0.0"/>
    <numFmt numFmtId="199" formatCode="_-* #,##0&quot; Ft&quot;_-;\-* #,##0&quot; Ft&quot;_-;_-* &quot;- Ft&quot;_-;_-@_-"/>
    <numFmt numFmtId="200" formatCode="_-* #,##0.00&quot; Ft&quot;_-;\-* #,##0.00&quot; Ft&quot;_-;_-* \-??&quot; Ft&quot;_-;_-@_-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#,##0.0____"/>
    <numFmt numFmtId="205" formatCode="#\ ##0.0"/>
    <numFmt numFmtId="206" formatCode="mmmm\ yyyy"/>
    <numFmt numFmtId="207" formatCode="_-* #,##0&quot; к.&quot;_-;\-* #,##0&quot; к.&quot;_-;_-* &quot;- к.&quot;_-;_-@_-"/>
    <numFmt numFmtId="208" formatCode="_-* #,##0.00&quot; к.&quot;_-;\-* #,##0.00&quot; к.&quot;_-;_-* \-??&quot; к.&quot;_-;_-@_-"/>
    <numFmt numFmtId="209" formatCode="_-* #,##0\ _г_р_н_._-;\-* #,##0\ _г_р_н_._-;_-* &quot;- &quot;_г_р_н_._-;_-@_-"/>
    <numFmt numFmtId="210" formatCode="_-* #,##0.00\ _г_р_н_._-;\-* #,##0.00\ _г_р_н_._-;_-* \-??\ _г_р_н_._-;_-@_-"/>
    <numFmt numFmtId="211" formatCode="_-* #,##0\ _к_._-;\-* #,##0\ _к_._-;_-* &quot;- &quot;_к_._-;_-@_-"/>
    <numFmt numFmtId="212" formatCode="_-* #,##0.00000\ _l_e_i_-;\-* #,##0.00000\ _l_e_i_-;_-* &quot;-&quot;??\ _l_e_i_-;_-@_-"/>
    <numFmt numFmtId="213" formatCode="#,##0\ \ \ \ "/>
    <numFmt numFmtId="214" formatCode="????"/>
    <numFmt numFmtId="215" formatCode="??,??0.00"/>
    <numFmt numFmtId="216" formatCode="???"/>
    <numFmt numFmtId="217" formatCode="??0.00"/>
    <numFmt numFmtId="218" formatCode="?,??0.00"/>
    <numFmt numFmtId="219" formatCode="???,??0.00"/>
    <numFmt numFmtId="220" formatCode="?,???,??0.00"/>
    <numFmt numFmtId="221" formatCode="??,???,??0.00"/>
    <numFmt numFmtId="222" formatCode="???,???,??0.00"/>
    <numFmt numFmtId="223" formatCode="?"/>
    <numFmt numFmtId="224" formatCode="????.0"/>
    <numFmt numFmtId="225" formatCode="_-* #,##0.00\ _D_M_-;\-* #,##0.00\ _D_M_-;_-* &quot;-&quot;??\ _D_M_-;_-@_-"/>
    <numFmt numFmtId="226" formatCode="#,##0.0000000"/>
  </numFmts>
  <fonts count="105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b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2"/>
      <name val="Arial"/>
      <family val="2"/>
    </font>
    <font>
      <u val="single"/>
      <sz val="12"/>
      <name val="Arial"/>
      <family val="2"/>
    </font>
    <font>
      <b/>
      <sz val="12"/>
      <color indexed="53"/>
      <name val="Arial"/>
      <family val="2"/>
    </font>
    <font>
      <b/>
      <i/>
      <sz val="14"/>
      <name val="Arial"/>
      <family val="2"/>
    </font>
    <font>
      <b/>
      <sz val="12"/>
      <color indexed="60"/>
      <name val="Arial"/>
      <family val="2"/>
    </font>
    <font>
      <sz val="12"/>
      <color indexed="8"/>
      <name val="Times New Roman"/>
      <family val="1"/>
    </font>
    <font>
      <b/>
      <sz val="10"/>
      <color indexed="17"/>
      <name val="Times New Roman"/>
      <family val="1"/>
    </font>
    <font>
      <sz val="11"/>
      <color indexed="17"/>
      <name val="Times New Roman"/>
      <family val="1"/>
    </font>
    <font>
      <sz val="8"/>
      <color indexed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color indexed="8"/>
      <name val="Times New Roman"/>
      <family val="1"/>
    </font>
    <font>
      <b/>
      <sz val="10"/>
      <name val="Tahoma"/>
      <family val="0"/>
    </font>
    <font>
      <sz val="10"/>
      <name val="Tahoma"/>
      <family val="0"/>
    </font>
    <font>
      <sz val="9"/>
      <color indexed="10"/>
      <name val="Tahoma"/>
      <family val="2"/>
    </font>
    <font>
      <sz val="9"/>
      <name val="Tahoma"/>
      <family val="2"/>
    </font>
    <font>
      <sz val="10"/>
      <color indexed="10"/>
      <name val="Tahoma"/>
      <family val="2"/>
    </font>
    <font>
      <sz val="9"/>
      <color indexed="14"/>
      <name val="Tahoma"/>
      <family val="2"/>
    </font>
    <font>
      <b/>
      <sz val="10"/>
      <color indexed="10"/>
      <name val="Tahoma"/>
      <family val="2"/>
    </font>
    <font>
      <b/>
      <sz val="9"/>
      <color indexed="10"/>
      <name val="Tahoma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3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80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75" fontId="1" fillId="0" borderId="0" applyFill="0" applyBorder="0" applyAlignment="0" applyProtection="0"/>
    <xf numFmtId="0" fontId="5" fillId="0" borderId="1">
      <alignment/>
      <protection hidden="1"/>
    </xf>
    <xf numFmtId="181" fontId="1" fillId="20" borderId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181" fontId="8" fillId="0" borderId="0" applyFill="0" applyBorder="0" applyAlignment="0" applyProtection="0"/>
    <xf numFmtId="0" fontId="9" fillId="4" borderId="0" applyNumberFormat="0" applyBorder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181" fontId="1" fillId="0" borderId="3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22" borderId="5" applyNumberFormat="0" applyAlignment="0" applyProtection="0"/>
    <xf numFmtId="0" fontId="13" fillId="23" borderId="6">
      <alignment horizontal="right" vertical="center"/>
      <protection/>
    </xf>
    <xf numFmtId="0" fontId="14" fillId="23" borderId="6">
      <alignment horizontal="right" vertical="center"/>
      <protection/>
    </xf>
    <xf numFmtId="0" fontId="0" fillId="23" borderId="7">
      <alignment/>
      <protection/>
    </xf>
    <xf numFmtId="0" fontId="15" fillId="24" borderId="6">
      <alignment horizontal="center" vertical="center"/>
      <protection/>
    </xf>
    <xf numFmtId="0" fontId="13" fillId="23" borderId="6">
      <alignment horizontal="right" vertical="center"/>
      <protection/>
    </xf>
    <xf numFmtId="0" fontId="0" fillId="23" borderId="0">
      <alignment/>
      <protection/>
    </xf>
    <xf numFmtId="0" fontId="16" fillId="23" borderId="6">
      <alignment horizontal="left" vertical="center"/>
      <protection/>
    </xf>
    <xf numFmtId="0" fontId="16" fillId="23" borderId="8">
      <alignment vertical="center"/>
      <protection/>
    </xf>
    <xf numFmtId="0" fontId="17" fillId="23" borderId="9">
      <alignment vertical="center"/>
      <protection/>
    </xf>
    <xf numFmtId="0" fontId="16" fillId="23" borderId="6">
      <alignment/>
      <protection/>
    </xf>
    <xf numFmtId="0" fontId="14" fillId="23" borderId="6">
      <alignment horizontal="right" vertical="center"/>
      <protection/>
    </xf>
    <xf numFmtId="0" fontId="18" fillId="25" borderId="6">
      <alignment horizontal="left" vertical="center"/>
      <protection/>
    </xf>
    <xf numFmtId="0" fontId="18" fillId="25" borderId="6">
      <alignment horizontal="left" vertical="center"/>
      <protection/>
    </xf>
    <xf numFmtId="0" fontId="19" fillId="23" borderId="6">
      <alignment horizontal="left" vertical="center"/>
      <protection/>
    </xf>
    <xf numFmtId="0" fontId="20" fillId="23" borderId="7">
      <alignment/>
      <protection/>
    </xf>
    <xf numFmtId="0" fontId="15" fillId="20" borderId="6">
      <alignment horizontal="left" vertical="center"/>
      <protection/>
    </xf>
    <xf numFmtId="43" fontId="0" fillId="0" borderId="0" applyFill="0" applyBorder="0" applyAlignment="0" applyProtection="0"/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41" fontId="0" fillId="0" borderId="0" applyFill="0" applyBorder="0" applyAlignment="0" applyProtection="0"/>
    <xf numFmtId="166" fontId="22" fillId="0" borderId="0">
      <alignment horizontal="right" vertical="top"/>
      <protection/>
    </xf>
    <xf numFmtId="183" fontId="1" fillId="0" borderId="0">
      <alignment/>
      <protection/>
    </xf>
    <xf numFmtId="3" fontId="0" fillId="0" borderId="0" applyFill="0" applyBorder="0" applyAlignment="0" applyProtection="0"/>
    <xf numFmtId="0" fontId="23" fillId="0" borderId="0">
      <alignment/>
      <protection/>
    </xf>
    <xf numFmtId="3" fontId="1" fillId="0" borderId="0" applyFill="0" applyBorder="0" applyAlignment="0" applyProtection="0"/>
    <xf numFmtId="0" fontId="0" fillId="26" borderId="10" applyNumberFormat="0" applyFont="0" applyAlignment="0" applyProtection="0"/>
    <xf numFmtId="213" fontId="24" fillId="0" borderId="11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6" fillId="7" borderId="2" applyNumberFormat="0" applyAlignment="0" applyProtection="0"/>
    <xf numFmtId="0" fontId="7" fillId="3" borderId="0" applyNumberFormat="0" applyBorder="0" applyAlignment="0" applyProtection="0"/>
    <xf numFmtId="186" fontId="1" fillId="0" borderId="0" applyFill="0" applyBorder="0" applyAlignment="0" applyProtection="0"/>
    <xf numFmtId="181" fontId="27" fillId="0" borderId="0">
      <alignment/>
      <protection/>
    </xf>
    <xf numFmtId="0" fontId="28" fillId="0" borderId="0" applyNumberFormat="0" applyFill="0" applyBorder="0" applyAlignment="0" applyProtection="0"/>
    <xf numFmtId="187" fontId="1" fillId="0" borderId="0" applyFill="0" applyBorder="0" applyAlignment="0" applyProtection="0"/>
    <xf numFmtId="188" fontId="1" fillId="0" borderId="0" applyFill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29" fillId="0" borderId="0">
      <alignment/>
      <protection locked="0"/>
    </xf>
    <xf numFmtId="0" fontId="31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30" fillId="0" borderId="0">
      <alignment/>
      <protection locked="0"/>
    </xf>
    <xf numFmtId="0" fontId="32" fillId="0" borderId="0">
      <alignment/>
      <protection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7" fontId="0" fillId="0" borderId="0" applyFill="0" applyBorder="0" applyAlignment="0" applyProtection="0"/>
    <xf numFmtId="1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0" fontId="32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33" fillId="0" borderId="0" applyNumberFormat="0" applyFill="0" applyBorder="0" applyAlignment="0" applyProtection="0"/>
    <xf numFmtId="0" fontId="9" fillId="4" borderId="0" applyNumberFormat="0" applyBorder="0" applyAlignment="0" applyProtection="0"/>
    <xf numFmtId="181" fontId="34" fillId="20" borderId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189" fontId="38" fillId="0" borderId="0">
      <alignment/>
      <protection locked="0"/>
    </xf>
    <xf numFmtId="189" fontId="38" fillId="0" borderId="0">
      <alignment/>
      <protection locked="0"/>
    </xf>
    <xf numFmtId="181" fontId="39" fillId="0" borderId="0" applyFill="0" applyBorder="0" applyAlignment="0" applyProtection="0"/>
    <xf numFmtId="181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2" fillId="21" borderId="15" applyNumberFormat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0" fontId="26" fillId="7" borderId="2" applyNumberFormat="0" applyAlignment="0" applyProtection="0"/>
    <xf numFmtId="181" fontId="34" fillId="23" borderId="0" applyBorder="0" applyAlignment="0" applyProtection="0"/>
    <xf numFmtId="0" fontId="26" fillId="7" borderId="2" applyNumberFormat="0" applyAlignment="0" applyProtection="0"/>
    <xf numFmtId="0" fontId="7" fillId="3" borderId="0" applyNumberFormat="0" applyBorder="0" applyAlignment="0" applyProtection="0"/>
    <xf numFmtId="0" fontId="26" fillId="7" borderId="2" applyNumberFormat="0" applyAlignment="0" applyProtection="0"/>
    <xf numFmtId="181" fontId="43" fillId="0" borderId="0" applyFill="0" applyBorder="0" applyAlignment="0" applyProtection="0"/>
    <xf numFmtId="0" fontId="44" fillId="0" borderId="0">
      <alignment/>
      <protection/>
    </xf>
    <xf numFmtId="181" fontId="43" fillId="0" borderId="0" applyFill="0" applyBorder="0" applyAlignment="0" applyProtection="0"/>
    <xf numFmtId="165" fontId="45" fillId="0" borderId="0">
      <alignment/>
      <protection/>
    </xf>
    <xf numFmtId="0" fontId="32" fillId="0" borderId="16">
      <alignment/>
      <protection/>
    </xf>
    <xf numFmtId="0" fontId="11" fillId="0" borderId="4" applyNumberFormat="0" applyFill="0" applyAlignment="0" applyProtection="0"/>
    <xf numFmtId="0" fontId="46" fillId="0" borderId="1">
      <alignment horizontal="left"/>
      <protection locked="0"/>
    </xf>
    <xf numFmtId="181" fontId="47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2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37" fontId="51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198" fontId="1" fillId="0" borderId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193" fontId="1" fillId="0" borderId="0" applyFill="0" applyBorder="0" applyAlignment="0" applyProtection="0"/>
    <xf numFmtId="0" fontId="42" fillId="21" borderId="15" applyNumberFormat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0" fontId="23" fillId="0" borderId="0">
      <alignment/>
      <protection/>
    </xf>
    <xf numFmtId="9" fontId="0" fillId="0" borderId="0" applyFill="0" applyBorder="0" applyAlignment="0" applyProtection="0"/>
    <xf numFmtId="10" fontId="1" fillId="0" borderId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3" fontId="1" fillId="0" borderId="0" applyFill="0" applyBorder="0" applyAlignment="0" applyProtection="0"/>
    <xf numFmtId="2" fontId="1" fillId="0" borderId="0" applyFill="0" applyBorder="0" applyAlignment="0" applyProtection="0"/>
    <xf numFmtId="204" fontId="1" fillId="0" borderId="0" applyFill="0" applyBorder="0" applyAlignment="0">
      <protection/>
    </xf>
    <xf numFmtId="0" fontId="22" fillId="0" borderId="0">
      <alignment/>
      <protection/>
    </xf>
    <xf numFmtId="181" fontId="55" fillId="0" borderId="0" applyFill="0" applyBorder="0" applyAlignment="0" applyProtection="0"/>
    <xf numFmtId="167" fontId="56" fillId="0" borderId="0">
      <alignment/>
      <protection/>
    </xf>
    <xf numFmtId="0" fontId="0" fillId="28" borderId="0">
      <alignment/>
      <protection/>
    </xf>
    <xf numFmtId="0" fontId="9" fillId="4" borderId="0" applyNumberFormat="0" applyBorder="0" applyAlignment="0" applyProtection="0"/>
    <xf numFmtId="0" fontId="42" fillId="21" borderId="15" applyNumberFormat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27" fillId="0" borderId="0">
      <alignment/>
      <protection/>
    </xf>
    <xf numFmtId="181" fontId="0" fillId="0" borderId="0">
      <alignment/>
      <protection/>
    </xf>
    <xf numFmtId="0" fontId="6" fillId="0" borderId="0" applyNumberFormat="0" applyFill="0" applyBorder="0" applyAlignment="0" applyProtection="0"/>
    <xf numFmtId="205" fontId="58" fillId="0" borderId="0" applyBorder="0">
      <alignment/>
      <protection/>
    </xf>
    <xf numFmtId="205" fontId="59" fillId="0" borderId="0" applyBorder="0">
      <alignment/>
      <protection/>
    </xf>
    <xf numFmtId="0" fontId="60" fillId="0" borderId="0" applyBorder="0">
      <alignment/>
      <protection/>
    </xf>
    <xf numFmtId="0" fontId="59" fillId="0" borderId="0" applyBorder="0">
      <alignment/>
      <protection/>
    </xf>
    <xf numFmtId="0" fontId="28" fillId="0" borderId="0" applyNumberFormat="0" applyFill="0" applyBorder="0" applyAlignment="0" applyProtection="0"/>
    <xf numFmtId="205" fontId="58" fillId="29" borderId="0" applyBorder="0">
      <alignment/>
      <protection/>
    </xf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56" fillId="20" borderId="1">
      <alignment/>
      <protection/>
    </xf>
    <xf numFmtId="0" fontId="62" fillId="0" borderId="17" applyNumberFormat="0" applyFill="0" applyAlignment="0" applyProtection="0"/>
    <xf numFmtId="0" fontId="49" fillId="0" borderId="0">
      <alignment/>
      <protection/>
    </xf>
    <xf numFmtId="0" fontId="1" fillId="0" borderId="0" applyFill="0" applyBorder="0" applyAlignment="0" applyProtection="0"/>
    <xf numFmtId="175" fontId="1" fillId="0" borderId="0" applyFill="0" applyBorder="0" applyAlignment="0" applyProtection="0"/>
    <xf numFmtId="0" fontId="12" fillId="22" borderId="5" applyNumberFormat="0" applyAlignment="0" applyProtection="0"/>
    <xf numFmtId="0" fontId="12" fillId="22" borderId="5" applyNumberFormat="0" applyAlignment="0" applyProtection="0"/>
    <xf numFmtId="43" fontId="0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6" fillId="0" borderId="0" applyNumberFormat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>
      <alignment/>
      <protection/>
    </xf>
    <xf numFmtId="0" fontId="63" fillId="0" borderId="0">
      <alignment horizontal="left" wrapText="1"/>
      <protection/>
    </xf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18" applyFill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206" fontId="1" fillId="0" borderId="0">
      <alignment horizontal="right"/>
      <protection/>
    </xf>
    <xf numFmtId="181" fontId="64" fillId="0" borderId="0" applyFill="0" applyBorder="0" applyAlignment="0" applyProtection="0"/>
    <xf numFmtId="181" fontId="65" fillId="0" borderId="0" applyFill="0" applyBorder="0" applyAlignment="0" applyProtection="0"/>
    <xf numFmtId="167" fontId="25" fillId="0" borderId="0">
      <alignment horizontal="right"/>
      <protection/>
    </xf>
    <xf numFmtId="0" fontId="66" fillId="0" borderId="0" applyProtection="0">
      <alignment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0" fontId="67" fillId="0" borderId="0" applyProtection="0">
      <alignment/>
    </xf>
    <xf numFmtId="0" fontId="68" fillId="0" borderId="0" applyProtection="0">
      <alignment/>
    </xf>
    <xf numFmtId="0" fontId="66" fillId="0" borderId="19" applyProtection="0">
      <alignment/>
    </xf>
    <xf numFmtId="0" fontId="1" fillId="0" borderId="0">
      <alignment/>
      <protection/>
    </xf>
    <xf numFmtId="181" fontId="69" fillId="0" borderId="0" applyFill="0" applyBorder="0" applyAlignment="0" applyProtection="0"/>
    <xf numFmtId="10" fontId="66" fillId="0" borderId="0" applyProtection="0">
      <alignment/>
    </xf>
    <xf numFmtId="0" fontId="66" fillId="0" borderId="0">
      <alignment/>
      <protection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181" fontId="70" fillId="0" borderId="0" applyFill="0" applyBorder="0" applyAlignment="0" applyProtection="0"/>
    <xf numFmtId="181" fontId="70" fillId="0" borderId="0" applyFill="0" applyBorder="0" applyAlignment="0" applyProtection="0"/>
    <xf numFmtId="2" fontId="66" fillId="0" borderId="0" applyProtection="0">
      <alignment/>
    </xf>
    <xf numFmtId="211" fontId="1" fillId="0" borderId="0" applyFill="0" applyBorder="0" applyAlignment="0" applyProtection="0"/>
    <xf numFmtId="210" fontId="1" fillId="0" borderId="0" applyFill="0" applyBorder="0" applyAlignment="0" applyProtection="0"/>
  </cellStyleXfs>
  <cellXfs count="238">
    <xf numFmtId="0" fontId="0" fillId="0" borderId="0" xfId="0" applyAlignment="1">
      <alignment/>
    </xf>
    <xf numFmtId="165" fontId="71" fillId="30" borderId="0" xfId="0" applyNumberFormat="1" applyFont="1" applyFill="1" applyAlignment="1" applyProtection="1">
      <alignment horizontal="center"/>
      <protection locked="0"/>
    </xf>
    <xf numFmtId="165" fontId="71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Border="1" applyAlignment="1" applyProtection="1">
      <alignment horizontal="center"/>
      <protection locked="0"/>
    </xf>
    <xf numFmtId="165" fontId="71" fillId="30" borderId="0" xfId="0" applyNumberFormat="1" applyFont="1" applyFill="1" applyAlignment="1" applyProtection="1">
      <alignment horizontal="right"/>
      <protection/>
    </xf>
    <xf numFmtId="165" fontId="74" fillId="30" borderId="0" xfId="0" applyNumberFormat="1" applyFont="1" applyFill="1" applyAlignment="1" applyProtection="1">
      <alignment horizontal="center"/>
      <protection locked="0"/>
    </xf>
    <xf numFmtId="166" fontId="74" fillId="30" borderId="0" xfId="0" applyNumberFormat="1" applyFont="1" applyFill="1" applyAlignment="1" applyProtection="1">
      <alignment horizontal="center"/>
      <protection locked="0"/>
    </xf>
    <xf numFmtId="165" fontId="75" fillId="30" borderId="0" xfId="0" applyNumberFormat="1" applyFont="1" applyFill="1" applyAlignment="1" applyProtection="1">
      <alignment horizontal="center"/>
      <protection locked="0"/>
    </xf>
    <xf numFmtId="165" fontId="75" fillId="30" borderId="0" xfId="0" applyNumberFormat="1" applyFont="1" applyFill="1" applyBorder="1" applyAlignment="1" applyProtection="1">
      <alignment horizontal="right"/>
      <protection locked="0"/>
    </xf>
    <xf numFmtId="165" fontId="76" fillId="30" borderId="0" xfId="0" applyNumberFormat="1" applyFont="1" applyFill="1" applyBorder="1" applyAlignment="1" applyProtection="1">
      <alignment horizontal="right"/>
      <protection locked="0"/>
    </xf>
    <xf numFmtId="165" fontId="76" fillId="0" borderId="0" xfId="0" applyNumberFormat="1" applyFont="1" applyFill="1" applyBorder="1" applyAlignment="1" applyProtection="1">
      <alignment horizontal="right"/>
      <protection locked="0"/>
    </xf>
    <xf numFmtId="165" fontId="77" fillId="30" borderId="0" xfId="0" applyNumberFormat="1" applyFont="1" applyFill="1" applyBorder="1" applyAlignment="1" applyProtection="1">
      <alignment horizontal="right"/>
      <protection locked="0"/>
    </xf>
    <xf numFmtId="165" fontId="77" fillId="30" borderId="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0" fontId="74" fillId="30" borderId="0" xfId="0" applyFont="1" applyFill="1" applyBorder="1" applyAlignment="1">
      <alignment horizontal="center"/>
    </xf>
    <xf numFmtId="49" fontId="78" fillId="30" borderId="0" xfId="0" applyNumberFormat="1" applyFont="1" applyFill="1" applyBorder="1" applyAlignment="1" applyProtection="1">
      <alignment horizontal="center"/>
      <protection locked="0"/>
    </xf>
    <xf numFmtId="49" fontId="74" fillId="30" borderId="0" xfId="0" applyNumberFormat="1" applyFont="1" applyFill="1" applyBorder="1" applyAlignment="1" applyProtection="1">
      <alignment horizontal="center" wrapText="1"/>
      <protection locked="0"/>
    </xf>
    <xf numFmtId="165" fontId="72" fillId="30" borderId="0" xfId="0" applyNumberFormat="1" applyFont="1" applyFill="1" applyAlignment="1" applyProtection="1">
      <alignment horizontal="center"/>
      <protection locked="0"/>
    </xf>
    <xf numFmtId="165" fontId="75" fillId="30" borderId="0" xfId="0" applyNumberFormat="1" applyFont="1" applyFill="1" applyBorder="1" applyAlignment="1" applyProtection="1">
      <alignment/>
      <protection locked="0"/>
    </xf>
    <xf numFmtId="165" fontId="76" fillId="30" borderId="0" xfId="0" applyNumberFormat="1" applyFont="1" applyFill="1" applyBorder="1" applyAlignment="1" applyProtection="1">
      <alignment/>
      <protection locked="0"/>
    </xf>
    <xf numFmtId="3" fontId="74" fillId="30" borderId="0" xfId="210" applyNumberFormat="1" applyFont="1" applyFill="1" applyAlignment="1">
      <alignment horizontal="center"/>
      <protection/>
    </xf>
    <xf numFmtId="165" fontId="71" fillId="0" borderId="0" xfId="0" applyNumberFormat="1" applyFont="1" applyFill="1" applyAlignment="1" applyProtection="1">
      <alignment horizontal="right"/>
      <protection locked="0"/>
    </xf>
    <xf numFmtId="165" fontId="71" fillId="30" borderId="0" xfId="0" applyNumberFormat="1" applyFont="1" applyFill="1" applyBorder="1" applyAlignment="1" applyProtection="1">
      <alignment horizontal="right"/>
      <protection locked="0"/>
    </xf>
    <xf numFmtId="165" fontId="72" fillId="30" borderId="0" xfId="0" applyNumberFormat="1" applyFont="1" applyFill="1" applyBorder="1" applyAlignment="1" applyProtection="1">
      <alignment/>
      <protection locked="0"/>
    </xf>
    <xf numFmtId="165" fontId="74" fillId="30" borderId="0" xfId="0" applyNumberFormat="1" applyFont="1" applyFill="1" applyBorder="1" applyAlignment="1" applyProtection="1">
      <alignment horizontal="right"/>
      <protection locked="0"/>
    </xf>
    <xf numFmtId="166" fontId="74" fillId="30" borderId="0" xfId="0" applyNumberFormat="1" applyFont="1" applyFill="1" applyBorder="1" applyAlignment="1" applyProtection="1" quotePrefix="1">
      <alignment horizontal="right"/>
      <protection locked="0"/>
    </xf>
    <xf numFmtId="165" fontId="71" fillId="30" borderId="20" xfId="0" applyNumberFormat="1" applyFont="1" applyFill="1" applyBorder="1" applyAlignment="1" applyProtection="1">
      <alignment horizontal="center"/>
      <protection locked="0"/>
    </xf>
    <xf numFmtId="165" fontId="71" fillId="30" borderId="20" xfId="0" applyNumberFormat="1" applyFont="1" applyFill="1" applyBorder="1" applyAlignment="1" applyProtection="1">
      <alignment horizontal="center" vertical="top" readingOrder="1"/>
      <protection/>
    </xf>
    <xf numFmtId="165" fontId="72" fillId="30" borderId="20" xfId="0" applyNumberFormat="1" applyFont="1" applyFill="1" applyBorder="1" applyAlignment="1" applyProtection="1">
      <alignment horizontal="center" vertical="top" readingOrder="1"/>
      <protection/>
    </xf>
    <xf numFmtId="165" fontId="74" fillId="30" borderId="20" xfId="0" applyNumberFormat="1" applyFont="1" applyFill="1" applyBorder="1" applyAlignment="1" applyProtection="1">
      <alignment horizontal="center" readingOrder="1"/>
      <protection locked="0"/>
    </xf>
    <xf numFmtId="165" fontId="74" fillId="30" borderId="20" xfId="0" applyNumberFormat="1" applyFont="1" applyFill="1" applyBorder="1" applyAlignment="1" applyProtection="1">
      <alignment horizontal="center" vertical="top" readingOrder="1"/>
      <protection/>
    </xf>
    <xf numFmtId="165" fontId="74" fillId="30" borderId="0" xfId="0" applyNumberFormat="1" applyFont="1" applyFill="1" applyBorder="1" applyAlignment="1">
      <alignment horizontal="center" vertical="top" wrapText="1"/>
    </xf>
    <xf numFmtId="165" fontId="74" fillId="30" borderId="0" xfId="0" applyNumberFormat="1" applyFont="1" applyFill="1" applyBorder="1" applyAlignment="1" applyProtection="1">
      <alignment horizontal="right"/>
      <protection locked="0"/>
    </xf>
    <xf numFmtId="0" fontId="71" fillId="30" borderId="0" xfId="0" applyFont="1" applyFill="1" applyBorder="1" applyAlignment="1">
      <alignment horizontal="center" vertical="top" readingOrder="1"/>
    </xf>
    <xf numFmtId="0" fontId="72" fillId="30" borderId="0" xfId="0" applyFont="1" applyFill="1" applyBorder="1" applyAlignment="1">
      <alignment horizontal="center" vertical="top" readingOrder="1"/>
    </xf>
    <xf numFmtId="165" fontId="74" fillId="30" borderId="0" xfId="0" applyNumberFormat="1" applyFont="1" applyFill="1" applyBorder="1" applyAlignment="1" applyProtection="1">
      <alignment horizontal="center" readingOrder="1"/>
      <protection locked="0"/>
    </xf>
    <xf numFmtId="165" fontId="74" fillId="30" borderId="0" xfId="0" applyNumberFormat="1" applyFont="1" applyFill="1" applyBorder="1" applyAlignment="1" applyProtection="1">
      <alignment horizontal="center" vertical="top" readingOrder="1"/>
      <protection/>
    </xf>
    <xf numFmtId="165" fontId="71" fillId="30" borderId="0" xfId="0" applyNumberFormat="1" applyFont="1" applyFill="1" applyBorder="1" applyAlignment="1" applyProtection="1">
      <alignment horizontal="center" vertical="top" readingOrder="1"/>
      <protection/>
    </xf>
    <xf numFmtId="168" fontId="71" fillId="30" borderId="0" xfId="0" applyNumberFormat="1" applyFont="1" applyFill="1" applyBorder="1" applyAlignment="1" applyProtection="1">
      <alignment horizontal="center"/>
      <protection locked="0"/>
    </xf>
    <xf numFmtId="165" fontId="79" fillId="30" borderId="0" xfId="0" applyNumberFormat="1" applyFont="1" applyFill="1" applyBorder="1" applyAlignment="1" applyProtection="1">
      <alignment/>
      <protection locked="0"/>
    </xf>
    <xf numFmtId="166" fontId="74" fillId="30" borderId="0" xfId="0" applyNumberFormat="1" applyFont="1" applyFill="1" applyBorder="1" applyAlignment="1" applyProtection="1">
      <alignment horizontal="center" vertical="center" wrapText="1"/>
      <protection locked="0"/>
    </xf>
    <xf numFmtId="165" fontId="74" fillId="30" borderId="0" xfId="0" applyNumberFormat="1" applyFont="1" applyFill="1" applyBorder="1" applyAlignment="1" applyProtection="1">
      <alignment horizontal="center" vertical="center"/>
      <protection locked="0"/>
    </xf>
    <xf numFmtId="4" fontId="79" fillId="30" borderId="0" xfId="0" applyNumberFormat="1" applyFont="1" applyFill="1" applyBorder="1" applyAlignment="1" applyProtection="1">
      <alignment/>
      <protection locked="0"/>
    </xf>
    <xf numFmtId="171" fontId="71" fillId="30" borderId="0" xfId="0" applyNumberFormat="1" applyFont="1" applyFill="1" applyBorder="1" applyAlignment="1">
      <alignment horizontal="center" vertical="top" readingOrder="1"/>
    </xf>
    <xf numFmtId="165" fontId="79" fillId="30" borderId="0" xfId="0" applyNumberFormat="1" applyFont="1" applyFill="1" applyBorder="1" applyAlignment="1" applyProtection="1">
      <alignment horizontal="right"/>
      <protection locked="0"/>
    </xf>
    <xf numFmtId="4" fontId="71" fillId="30" borderId="0" xfId="0" applyNumberFormat="1" applyFont="1" applyFill="1" applyBorder="1" applyAlignment="1" applyProtection="1">
      <alignment horizontal="center"/>
      <protection locked="0"/>
    </xf>
    <xf numFmtId="166" fontId="79" fillId="30" borderId="0" xfId="0" applyNumberFormat="1" applyFont="1" applyFill="1" applyBorder="1" applyAlignment="1" applyProtection="1">
      <alignment wrapText="1"/>
      <protection locked="0"/>
    </xf>
    <xf numFmtId="165" fontId="80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Border="1" applyAlignment="1">
      <alignment horizontal="center" vertical="top" wrapText="1"/>
    </xf>
    <xf numFmtId="0" fontId="71" fillId="30" borderId="0" xfId="0" applyFont="1" applyFill="1" applyBorder="1" applyAlignment="1">
      <alignment horizontal="center" vertical="top" wrapText="1"/>
    </xf>
    <xf numFmtId="165" fontId="71" fillId="30" borderId="0" xfId="0" applyNumberFormat="1" applyFont="1" applyFill="1" applyBorder="1" applyAlignment="1" applyProtection="1">
      <alignment horizontal="center" vertical="top" wrapText="1"/>
      <protection/>
    </xf>
    <xf numFmtId="166" fontId="81" fillId="30" borderId="0" xfId="0" applyNumberFormat="1" applyFont="1" applyFill="1" applyBorder="1" applyAlignment="1" applyProtection="1">
      <alignment wrapText="1"/>
      <protection locked="0"/>
    </xf>
    <xf numFmtId="165" fontId="82" fillId="30" borderId="0" xfId="0" applyNumberFormat="1" applyFont="1" applyFill="1" applyBorder="1" applyAlignment="1" applyProtection="1">
      <alignment horizontal="center"/>
      <protection locked="0"/>
    </xf>
    <xf numFmtId="2" fontId="71" fillId="30" borderId="0" xfId="0" applyNumberFormat="1" applyFont="1" applyFill="1" applyBorder="1" applyAlignment="1">
      <alignment horizontal="center" vertical="top" wrapText="1"/>
    </xf>
    <xf numFmtId="165" fontId="81" fillId="30" borderId="0" xfId="0" applyNumberFormat="1" applyFont="1" applyFill="1" applyBorder="1" applyAlignment="1" applyProtection="1">
      <alignment horizontal="left" wrapText="1" indent="1"/>
      <protection locked="0"/>
    </xf>
    <xf numFmtId="165" fontId="72" fillId="30" borderId="0" xfId="0" applyNumberFormat="1" applyFont="1" applyFill="1" applyBorder="1" applyAlignment="1" applyProtection="1">
      <alignment horizontal="right" vertical="center"/>
      <protection locked="0"/>
    </xf>
    <xf numFmtId="165" fontId="71" fillId="30" borderId="0" xfId="0" applyNumberFormat="1" applyFont="1" applyFill="1" applyBorder="1" applyAlignment="1" applyProtection="1">
      <alignment horizontal="right" vertical="center"/>
      <protection locked="0"/>
    </xf>
    <xf numFmtId="165" fontId="72" fillId="30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 applyProtection="1">
      <alignment horizontal="right" vertical="center"/>
      <protection/>
    </xf>
    <xf numFmtId="165" fontId="74" fillId="30" borderId="0" xfId="0" applyNumberFormat="1" applyFont="1" applyFill="1" applyBorder="1" applyAlignment="1">
      <alignment horizontal="right" vertical="center"/>
    </xf>
    <xf numFmtId="165" fontId="74" fillId="30" borderId="0" xfId="0" applyNumberFormat="1" applyFont="1" applyFill="1" applyAlignment="1" applyProtection="1">
      <alignment horizontal="right" vertical="center"/>
      <protection/>
    </xf>
    <xf numFmtId="165" fontId="79" fillId="0" borderId="0" xfId="0" applyNumberFormat="1" applyFont="1" applyFill="1" applyAlignment="1" applyProtection="1">
      <alignment horizontal="right"/>
      <protection locked="0"/>
    </xf>
    <xf numFmtId="165" fontId="71" fillId="30" borderId="21" xfId="0" applyNumberFormat="1" applyFont="1" applyFill="1" applyBorder="1" applyAlignment="1" applyProtection="1">
      <alignment horizontal="right" wrapText="1" indent="1"/>
      <protection locked="0"/>
    </xf>
    <xf numFmtId="165" fontId="72" fillId="30" borderId="21" xfId="0" applyNumberFormat="1" applyFont="1" applyFill="1" applyBorder="1" applyAlignment="1" applyProtection="1">
      <alignment horizontal="right" vertical="center"/>
      <protection locked="0"/>
    </xf>
    <xf numFmtId="165" fontId="71" fillId="30" borderId="21" xfId="0" applyNumberFormat="1" applyFont="1" applyFill="1" applyBorder="1" applyAlignment="1" applyProtection="1">
      <alignment horizontal="right" vertical="center"/>
      <protection locked="0"/>
    </xf>
    <xf numFmtId="165" fontId="72" fillId="30" borderId="21" xfId="0" applyNumberFormat="1" applyFont="1" applyFill="1" applyBorder="1" applyAlignment="1" applyProtection="1">
      <alignment horizontal="right" vertical="center"/>
      <protection locked="0"/>
    </xf>
    <xf numFmtId="165" fontId="74" fillId="30" borderId="21" xfId="0" applyNumberFormat="1" applyFont="1" applyFill="1" applyBorder="1" applyAlignment="1" applyProtection="1">
      <alignment horizontal="right" vertical="center"/>
      <protection/>
    </xf>
    <xf numFmtId="165" fontId="74" fillId="30" borderId="21" xfId="0" applyNumberFormat="1" applyFont="1" applyFill="1" applyBorder="1" applyAlignment="1">
      <alignment horizontal="right" vertical="center"/>
    </xf>
    <xf numFmtId="165" fontId="74" fillId="30" borderId="20" xfId="0" applyNumberFormat="1" applyFont="1" applyFill="1" applyBorder="1" applyAlignment="1" applyProtection="1">
      <alignment horizontal="left" vertical="center"/>
      <protection locked="0"/>
    </xf>
    <xf numFmtId="165" fontId="74" fillId="30" borderId="20" xfId="0" applyNumberFormat="1" applyFont="1" applyFill="1" applyBorder="1" applyAlignment="1" applyProtection="1">
      <alignment horizontal="right" vertical="center"/>
      <protection locked="0"/>
    </xf>
    <xf numFmtId="165" fontId="73" fillId="30" borderId="2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 applyProtection="1">
      <alignment horizontal="right"/>
      <protection/>
    </xf>
    <xf numFmtId="166" fontId="74" fillId="30" borderId="0" xfId="0" applyNumberFormat="1" applyFont="1" applyFill="1" applyBorder="1" applyAlignment="1" applyProtection="1">
      <alignment horizontal="center" vertical="center" wrapText="1"/>
      <protection locked="0"/>
    </xf>
    <xf numFmtId="165" fontId="74" fillId="30" borderId="0" xfId="0" applyNumberFormat="1" applyFont="1" applyFill="1" applyBorder="1" applyAlignment="1" applyProtection="1">
      <alignment horizontal="center" vertical="center"/>
      <protection locked="0"/>
    </xf>
    <xf numFmtId="165" fontId="74" fillId="30" borderId="20" xfId="0" applyNumberFormat="1" applyFont="1" applyFill="1" applyBorder="1" applyAlignment="1">
      <alignment horizontal="center" vertical="top" wrapText="1"/>
    </xf>
    <xf numFmtId="165" fontId="74" fillId="30" borderId="20" xfId="0" applyNumberFormat="1" applyFont="1" applyFill="1" applyBorder="1" applyAlignment="1" applyProtection="1">
      <alignment horizontal="right" vertical="center"/>
      <protection/>
    </xf>
    <xf numFmtId="165" fontId="74" fillId="30" borderId="20" xfId="0" applyNumberFormat="1" applyFont="1" applyFill="1" applyBorder="1" applyAlignment="1">
      <alignment horizontal="right" vertical="center"/>
    </xf>
    <xf numFmtId="165" fontId="74" fillId="30" borderId="2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Border="1" applyAlignment="1" applyProtection="1">
      <alignment horizontal="right" wrapText="1" indent="1"/>
      <protection locked="0"/>
    </xf>
    <xf numFmtId="165" fontId="71" fillId="0" borderId="0" xfId="0" applyNumberFormat="1" applyFont="1" applyFill="1" applyAlignment="1" applyProtection="1">
      <alignment horizontal="right" vertical="center"/>
      <protection locked="0"/>
    </xf>
    <xf numFmtId="165" fontId="71" fillId="30" borderId="0" xfId="0" applyNumberFormat="1" applyFont="1" applyFill="1" applyAlignment="1" applyProtection="1">
      <alignment horizontal="right" vertical="center"/>
      <protection locked="0"/>
    </xf>
    <xf numFmtId="165" fontId="74" fillId="30" borderId="0" xfId="0" applyNumberFormat="1" applyFont="1" applyFill="1" applyAlignment="1">
      <alignment horizontal="right" vertical="center"/>
    </xf>
    <xf numFmtId="165" fontId="74" fillId="30" borderId="0" xfId="0" applyNumberFormat="1" applyFont="1" applyFill="1" applyBorder="1" applyAlignment="1" applyProtection="1">
      <alignment horizontal="left" wrapText="1" indent="1"/>
      <protection locked="0"/>
    </xf>
    <xf numFmtId="165" fontId="74" fillId="7" borderId="0" xfId="0" applyNumberFormat="1" applyFont="1" applyFill="1" applyAlignment="1" applyProtection="1">
      <alignment horizontal="right" vertical="center"/>
      <protection locked="0"/>
    </xf>
    <xf numFmtId="165" fontId="72" fillId="7" borderId="0" xfId="0" applyNumberFormat="1" applyFont="1" applyFill="1" applyAlignment="1" applyProtection="1">
      <alignment horizontal="right" vertical="center"/>
      <protection locked="0"/>
    </xf>
    <xf numFmtId="165" fontId="72" fillId="30" borderId="0" xfId="0" applyNumberFormat="1" applyFont="1" applyFill="1" applyAlignment="1" applyProtection="1">
      <alignment horizontal="right" vertical="center"/>
      <protection locked="0"/>
    </xf>
    <xf numFmtId="165" fontId="71" fillId="7" borderId="0" xfId="0" applyNumberFormat="1" applyFont="1" applyFill="1" applyAlignment="1" applyProtection="1">
      <alignment horizontal="right" vertical="center"/>
      <protection/>
    </xf>
    <xf numFmtId="165" fontId="71" fillId="0" borderId="0" xfId="0" applyNumberFormat="1" applyFont="1" applyFill="1" applyAlignment="1" applyProtection="1">
      <alignment horizontal="right" vertical="center"/>
      <protection locked="0"/>
    </xf>
    <xf numFmtId="165" fontId="74" fillId="15" borderId="0" xfId="0" applyNumberFormat="1" applyFont="1" applyFill="1" applyAlignment="1" applyProtection="1">
      <alignment horizontal="right" vertical="center"/>
      <protection locked="0"/>
    </xf>
    <xf numFmtId="165" fontId="72" fillId="15" borderId="0" xfId="0" applyNumberFormat="1" applyFont="1" applyFill="1" applyAlignment="1" applyProtection="1">
      <alignment horizontal="right" vertical="center"/>
      <protection locked="0"/>
    </xf>
    <xf numFmtId="165" fontId="71" fillId="31" borderId="0" xfId="0" applyNumberFormat="1" applyFont="1" applyFill="1" applyAlignment="1" applyProtection="1">
      <alignment horizontal="right" vertical="center"/>
      <protection/>
    </xf>
    <xf numFmtId="165" fontId="74" fillId="30" borderId="0" xfId="0" applyNumberFormat="1" applyFont="1" applyFill="1" applyAlignment="1" applyProtection="1">
      <alignment horizontal="right" vertical="center"/>
      <protection locked="0"/>
    </xf>
    <xf numFmtId="165" fontId="83" fillId="30" borderId="0" xfId="0" applyNumberFormat="1" applyFont="1" applyFill="1" applyAlignment="1" applyProtection="1">
      <alignment horizontal="right" vertical="center"/>
      <protection/>
    </xf>
    <xf numFmtId="165" fontId="72" fillId="30" borderId="0" xfId="0" applyNumberFormat="1" applyFont="1" applyFill="1" applyAlignment="1" applyProtection="1">
      <alignment horizontal="right"/>
      <protection locked="0"/>
    </xf>
    <xf numFmtId="165" fontId="72" fillId="0" borderId="0" xfId="0" applyNumberFormat="1" applyFont="1" applyFill="1" applyAlignment="1" applyProtection="1">
      <alignment horizontal="right" vertical="center"/>
      <protection locked="0"/>
    </xf>
    <xf numFmtId="4" fontId="71" fillId="30" borderId="0" xfId="0" applyNumberFormat="1" applyFont="1" applyFill="1" applyAlignment="1" applyProtection="1">
      <alignment horizontal="right" vertical="center"/>
      <protection locked="0"/>
    </xf>
    <xf numFmtId="165" fontId="74" fillId="28" borderId="0" xfId="0" applyNumberFormat="1" applyFont="1" applyFill="1" applyBorder="1" applyAlignment="1" applyProtection="1">
      <alignment horizontal="right" wrapText="1" indent="1"/>
      <protection locked="0"/>
    </xf>
    <xf numFmtId="165" fontId="71" fillId="28" borderId="0" xfId="0" applyNumberFormat="1" applyFont="1" applyFill="1" applyAlignment="1" applyProtection="1">
      <alignment horizontal="right" vertical="center"/>
      <protection locked="0"/>
    </xf>
    <xf numFmtId="165" fontId="72" fillId="28" borderId="0" xfId="0" applyNumberFormat="1" applyFont="1" applyFill="1" applyAlignment="1" applyProtection="1">
      <alignment horizontal="right" vertical="center"/>
      <protection locked="0"/>
    </xf>
    <xf numFmtId="4" fontId="71" fillId="28" borderId="0" xfId="0" applyNumberFormat="1" applyFont="1" applyFill="1" applyAlignment="1" applyProtection="1">
      <alignment horizontal="right" vertical="center"/>
      <protection locked="0"/>
    </xf>
    <xf numFmtId="165" fontId="74" fillId="28" borderId="0" xfId="0" applyNumberFormat="1" applyFont="1" applyFill="1" applyBorder="1" applyAlignment="1" applyProtection="1">
      <alignment horizontal="right" vertical="center"/>
      <protection/>
    </xf>
    <xf numFmtId="165" fontId="74" fillId="28" borderId="0" xfId="0" applyNumberFormat="1" applyFont="1" applyFill="1" applyBorder="1" applyAlignment="1" applyProtection="1">
      <alignment horizontal="right" vertical="center"/>
      <protection locked="0"/>
    </xf>
    <xf numFmtId="165" fontId="74" fillId="28" borderId="0" xfId="0" applyNumberFormat="1" applyFont="1" applyFill="1" applyBorder="1" applyAlignment="1">
      <alignment horizontal="right" vertical="center"/>
    </xf>
    <xf numFmtId="165" fontId="74" fillId="28" borderId="0" xfId="0" applyNumberFormat="1" applyFont="1" applyFill="1" applyAlignment="1" applyProtection="1">
      <alignment horizontal="right" vertical="center"/>
      <protection/>
    </xf>
    <xf numFmtId="165" fontId="71" fillId="28" borderId="0" xfId="0" applyNumberFormat="1" applyFont="1" applyFill="1" applyBorder="1" applyAlignment="1" applyProtection="1">
      <alignment horizontal="center"/>
      <protection locked="0"/>
    </xf>
    <xf numFmtId="165" fontId="74" fillId="15" borderId="0" xfId="0" applyNumberFormat="1" applyFont="1" applyFill="1" applyBorder="1" applyAlignment="1" applyProtection="1">
      <alignment horizontal="left" wrapText="1" indent="1"/>
      <protection locked="0"/>
    </xf>
    <xf numFmtId="165" fontId="74" fillId="15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 applyProtection="1">
      <alignment horizontal="right" vertical="center"/>
      <protection locked="0"/>
    </xf>
    <xf numFmtId="165" fontId="73" fillId="15" borderId="0" xfId="0" applyNumberFormat="1" applyFont="1" applyFill="1" applyBorder="1" applyAlignment="1" applyProtection="1">
      <alignment horizontal="right" vertical="center"/>
      <protection locked="0"/>
    </xf>
    <xf numFmtId="165" fontId="73" fillId="15" borderId="20" xfId="0" applyNumberFormat="1" applyFont="1" applyFill="1" applyBorder="1" applyAlignment="1" applyProtection="1">
      <alignment horizontal="right" vertical="center"/>
      <protection locked="0"/>
    </xf>
    <xf numFmtId="165" fontId="74" fillId="15" borderId="20" xfId="0" applyNumberFormat="1" applyFont="1" applyFill="1" applyBorder="1" applyAlignment="1" applyProtection="1">
      <alignment horizontal="right" vertical="center"/>
      <protection/>
    </xf>
    <xf numFmtId="165" fontId="74" fillId="15" borderId="20" xfId="0" applyNumberFormat="1" applyFont="1" applyFill="1" applyBorder="1" applyAlignment="1" applyProtection="1">
      <alignment horizontal="right" vertical="center"/>
      <protection locked="0"/>
    </xf>
    <xf numFmtId="165" fontId="74" fillId="32" borderId="20" xfId="0" applyNumberFormat="1" applyFont="1" applyFill="1" applyBorder="1" applyAlignment="1" applyProtection="1">
      <alignment horizontal="right" vertical="center"/>
      <protection locked="0"/>
    </xf>
    <xf numFmtId="165" fontId="74" fillId="14" borderId="20" xfId="0" applyNumberFormat="1" applyFont="1" applyFill="1" applyBorder="1" applyAlignment="1" applyProtection="1">
      <alignment horizontal="right" vertical="center"/>
      <protection/>
    </xf>
    <xf numFmtId="165" fontId="74" fillId="0" borderId="0" xfId="0" applyNumberFormat="1" applyFont="1" applyFill="1" applyBorder="1" applyAlignment="1" applyProtection="1">
      <alignment horizontal="right" vertical="center"/>
      <protection locked="0"/>
    </xf>
    <xf numFmtId="165" fontId="74" fillId="0" borderId="0" xfId="0" applyNumberFormat="1" applyFont="1" applyFill="1" applyBorder="1" applyAlignment="1" applyProtection="1">
      <alignment horizontal="right" vertical="center"/>
      <protection/>
    </xf>
    <xf numFmtId="165" fontId="74" fillId="14" borderId="0" xfId="0" applyNumberFormat="1" applyFont="1" applyFill="1" applyBorder="1" applyAlignment="1">
      <alignment horizontal="right" vertical="center"/>
    </xf>
    <xf numFmtId="165" fontId="74" fillId="14" borderId="0" xfId="0" applyNumberFormat="1" applyFont="1" applyFill="1" applyBorder="1" applyAlignment="1" applyProtection="1">
      <alignment horizontal="right" vertical="center"/>
      <protection/>
    </xf>
    <xf numFmtId="165" fontId="74" fillId="14" borderId="0" xfId="0" applyNumberFormat="1" applyFont="1" applyFill="1" applyAlignment="1" applyProtection="1">
      <alignment horizontal="right" vertical="center"/>
      <protection/>
    </xf>
    <xf numFmtId="165" fontId="74" fillId="14" borderId="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Border="1" applyAlignment="1" applyProtection="1">
      <alignment horizontal="left" vertical="center"/>
      <protection locked="0"/>
    </xf>
    <xf numFmtId="165" fontId="74" fillId="30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Alignment="1" applyProtection="1">
      <alignment horizontal="left" vertical="center" indent="2"/>
      <protection locked="0"/>
    </xf>
    <xf numFmtId="165" fontId="72" fillId="30" borderId="0" xfId="0" applyNumberFormat="1" applyFont="1" applyFill="1" applyAlignment="1" applyProtection="1">
      <alignment horizontal="right" vertical="center"/>
      <protection/>
    </xf>
    <xf numFmtId="165" fontId="71" fillId="30" borderId="0" xfId="0" applyNumberFormat="1" applyFont="1" applyFill="1" applyAlignment="1" applyProtection="1">
      <alignment horizontal="right" vertical="center"/>
      <protection/>
    </xf>
    <xf numFmtId="165" fontId="74" fillId="30" borderId="0" xfId="0" applyNumberFormat="1" applyFont="1" applyFill="1" applyAlignment="1" applyProtection="1">
      <alignment horizontal="left" wrapText="1" indent="3"/>
      <protection locked="0"/>
    </xf>
    <xf numFmtId="165" fontId="71" fillId="30" borderId="0" xfId="0" applyNumberFormat="1" applyFont="1" applyFill="1" applyAlignment="1" applyProtection="1">
      <alignment horizontal="right"/>
      <protection locked="0"/>
    </xf>
    <xf numFmtId="165" fontId="71" fillId="30" borderId="0" xfId="0" applyNumberFormat="1" applyFont="1" applyFill="1" applyAlignment="1" applyProtection="1">
      <alignment horizontal="left" indent="4"/>
      <protection locked="0"/>
    </xf>
    <xf numFmtId="165" fontId="71" fillId="0" borderId="0" xfId="0" applyNumberFormat="1" applyFont="1" applyFill="1" applyAlignment="1" applyProtection="1">
      <alignment horizontal="right"/>
      <protection locked="0"/>
    </xf>
    <xf numFmtId="165" fontId="72" fillId="30" borderId="0" xfId="0" applyNumberFormat="1" applyFont="1" applyFill="1" applyAlignment="1" applyProtection="1">
      <alignment horizontal="right"/>
      <protection/>
    </xf>
    <xf numFmtId="165" fontId="74" fillId="30" borderId="0" xfId="0" applyNumberFormat="1" applyFont="1" applyFill="1" applyAlignment="1" applyProtection="1">
      <alignment horizontal="right"/>
      <protection/>
    </xf>
    <xf numFmtId="165" fontId="71" fillId="30" borderId="0" xfId="0" applyNumberFormat="1" applyFont="1" applyFill="1" applyAlignment="1" applyProtection="1">
      <alignment horizontal="left" wrapText="1" indent="4"/>
      <protection locked="0"/>
    </xf>
    <xf numFmtId="165" fontId="84" fillId="30" borderId="0" xfId="0" applyNumberFormat="1" applyFont="1" applyFill="1" applyAlignment="1" applyProtection="1">
      <alignment horizontal="right"/>
      <protection locked="0"/>
    </xf>
    <xf numFmtId="165" fontId="74" fillId="30" borderId="0" xfId="0" applyNumberFormat="1" applyFont="1" applyFill="1" applyAlignment="1" applyProtection="1">
      <alignment horizontal="left" vertical="center" wrapText="1" indent="3"/>
      <protection/>
    </xf>
    <xf numFmtId="165" fontId="74" fillId="30" borderId="0" xfId="0" applyNumberFormat="1" applyFont="1" applyFill="1" applyAlignment="1" applyProtection="1">
      <alignment horizontal="right" vertical="center"/>
      <protection locked="0"/>
    </xf>
    <xf numFmtId="165" fontId="71" fillId="30" borderId="0" xfId="94" applyNumberFormat="1" applyFont="1" applyFill="1" applyAlignment="1" applyProtection="1">
      <alignment horizontal="right"/>
      <protection locked="0"/>
    </xf>
    <xf numFmtId="165" fontId="71" fillId="30" borderId="0" xfId="0" applyNumberFormat="1" applyFont="1" applyFill="1" applyAlignment="1" applyProtection="1">
      <alignment horizontal="left" vertical="center"/>
      <protection locked="0"/>
    </xf>
    <xf numFmtId="165" fontId="71" fillId="30" borderId="0" xfId="0" applyNumberFormat="1" applyFont="1" applyFill="1" applyAlignment="1" applyProtection="1">
      <alignment horizontal="left" vertical="center" wrapText="1" indent="4"/>
      <protection/>
    </xf>
    <xf numFmtId="165" fontId="72" fillId="30" borderId="0" xfId="0" applyNumberFormat="1" applyFont="1" applyFill="1" applyAlignment="1" applyProtection="1">
      <alignment horizontal="left" vertical="center"/>
      <protection locked="0"/>
    </xf>
    <xf numFmtId="165" fontId="71" fillId="0" borderId="0" xfId="94" applyNumberFormat="1" applyFont="1" applyFill="1" applyAlignment="1" applyProtection="1">
      <alignment horizontal="right"/>
      <protection locked="0"/>
    </xf>
    <xf numFmtId="165" fontId="71" fillId="30" borderId="0" xfId="0" applyNumberFormat="1" applyFont="1" applyFill="1" applyBorder="1" applyAlignment="1" applyProtection="1">
      <alignment horizontal="left"/>
      <protection locked="0"/>
    </xf>
    <xf numFmtId="165" fontId="74" fillId="30" borderId="0" xfId="0" applyNumberFormat="1" applyFont="1" applyFill="1" applyAlignment="1" applyProtection="1">
      <alignment horizontal="left" vertical="center" indent="3"/>
      <protection/>
    </xf>
    <xf numFmtId="165" fontId="74" fillId="30" borderId="0" xfId="0" applyNumberFormat="1" applyFont="1" applyFill="1" applyAlignment="1">
      <alignment horizontal="left" vertical="center" indent="1"/>
    </xf>
    <xf numFmtId="165" fontId="74" fillId="30" borderId="0" xfId="0" applyNumberFormat="1" applyFont="1" applyFill="1" applyAlignment="1" applyProtection="1" quotePrefix="1">
      <alignment horizontal="right" vertical="center"/>
      <protection locked="0"/>
    </xf>
    <xf numFmtId="165" fontId="74" fillId="30" borderId="0" xfId="0" applyNumberFormat="1" applyFont="1" applyFill="1" applyAlignment="1" applyProtection="1">
      <alignment horizontal="left" vertical="center" indent="1"/>
      <protection/>
    </xf>
    <xf numFmtId="165" fontId="74" fillId="30" borderId="0" xfId="0" applyNumberFormat="1" applyFont="1" applyFill="1" applyBorder="1" applyAlignment="1" applyProtection="1">
      <alignment horizontal="left" indent="1"/>
      <protection locked="0"/>
    </xf>
    <xf numFmtId="165" fontId="71" fillId="3" borderId="0" xfId="0" applyNumberFormat="1" applyFont="1" applyFill="1" applyAlignment="1" applyProtection="1">
      <alignment horizontal="right"/>
      <protection locked="0"/>
    </xf>
    <xf numFmtId="165" fontId="71" fillId="3" borderId="0" xfId="0" applyNumberFormat="1" applyFont="1" applyFill="1" applyAlignment="1" applyProtection="1">
      <alignment horizontal="right"/>
      <protection locked="0"/>
    </xf>
    <xf numFmtId="165" fontId="72" fillId="3" borderId="0" xfId="0" applyNumberFormat="1" applyFont="1" applyFill="1" applyAlignment="1" applyProtection="1">
      <alignment horizontal="right"/>
      <protection locked="0"/>
    </xf>
    <xf numFmtId="165" fontId="71" fillId="3" borderId="0" xfId="0" applyNumberFormat="1" applyFont="1" applyFill="1" applyAlignment="1" applyProtection="1">
      <alignment/>
      <protection/>
    </xf>
    <xf numFmtId="165" fontId="71" fillId="30" borderId="0" xfId="0" applyNumberFormat="1" applyFont="1" applyFill="1" applyAlignment="1" applyProtection="1">
      <alignment horizontal="right"/>
      <protection locked="0"/>
    </xf>
    <xf numFmtId="165" fontId="85" fillId="30" borderId="0" xfId="0" applyNumberFormat="1" applyFont="1" applyFill="1" applyAlignment="1" applyProtection="1">
      <alignment horizontal="right"/>
      <protection/>
    </xf>
    <xf numFmtId="165" fontId="74" fillId="30" borderId="0" xfId="0" applyNumberFormat="1" applyFont="1" applyFill="1" applyAlignment="1">
      <alignment horizontal="right"/>
    </xf>
    <xf numFmtId="165" fontId="71" fillId="30" borderId="0" xfId="0" applyNumberFormat="1" applyFont="1" applyFill="1" applyBorder="1" applyAlignment="1" applyProtection="1">
      <alignment horizontal="left" wrapText="1" indent="4"/>
      <protection locked="0"/>
    </xf>
    <xf numFmtId="165" fontId="73" fillId="30" borderId="0" xfId="0" applyNumberFormat="1" applyFont="1" applyFill="1" applyAlignment="1" applyProtection="1">
      <alignment horizontal="right" vertical="center"/>
      <protection locked="0"/>
    </xf>
    <xf numFmtId="165" fontId="71" fillId="15" borderId="0" xfId="0" applyNumberFormat="1" applyFont="1" applyFill="1" applyAlignment="1" applyProtection="1">
      <alignment horizontal="right" vertical="center"/>
      <protection locked="0"/>
    </xf>
    <xf numFmtId="165" fontId="71" fillId="30" borderId="0" xfId="0" applyNumberFormat="1" applyFont="1" applyFill="1" applyAlignment="1" applyProtection="1">
      <alignment horizontal="right" vertical="center"/>
      <protection/>
    </xf>
    <xf numFmtId="165" fontId="83" fillId="30" borderId="0" xfId="0" applyNumberFormat="1" applyFont="1" applyFill="1" applyAlignment="1" applyProtection="1">
      <alignment horizontal="right" vertical="center"/>
      <protection/>
    </xf>
    <xf numFmtId="165" fontId="74" fillId="15" borderId="20" xfId="0" applyNumberFormat="1" applyFont="1" applyFill="1" applyBorder="1" applyAlignment="1" applyProtection="1">
      <alignment horizontal="left" vertical="center"/>
      <protection locked="0"/>
    </xf>
    <xf numFmtId="165" fontId="74" fillId="32" borderId="20" xfId="0" applyNumberFormat="1" applyFont="1" applyFill="1" applyBorder="1" applyAlignment="1" applyProtection="1">
      <alignment horizontal="right" vertical="center"/>
      <protection locked="0"/>
    </xf>
    <xf numFmtId="165" fontId="74" fillId="15" borderId="20" xfId="0" applyNumberFormat="1" applyFont="1" applyFill="1" applyBorder="1" applyAlignment="1" applyProtection="1">
      <alignment horizontal="right" vertical="center"/>
      <protection locked="0"/>
    </xf>
    <xf numFmtId="165" fontId="74" fillId="32" borderId="20" xfId="0" applyNumberFormat="1" applyFont="1" applyFill="1" applyBorder="1" applyAlignment="1" applyProtection="1">
      <alignment horizontal="right"/>
      <protection/>
    </xf>
    <xf numFmtId="165" fontId="74" fillId="14" borderId="20" xfId="0" applyNumberFormat="1" applyFont="1" applyFill="1" applyBorder="1" applyAlignment="1" applyProtection="1">
      <alignment horizontal="right"/>
      <protection/>
    </xf>
    <xf numFmtId="165" fontId="74" fillId="14" borderId="20" xfId="0" applyNumberFormat="1" applyFont="1" applyFill="1" applyBorder="1" applyAlignment="1">
      <alignment horizontal="right" vertical="center"/>
    </xf>
    <xf numFmtId="165" fontId="74" fillId="14" borderId="20" xfId="0" applyNumberFormat="1" applyFont="1" applyFill="1" applyBorder="1" applyAlignment="1" applyProtection="1">
      <alignment horizontal="right" vertical="center"/>
      <protection/>
    </xf>
    <xf numFmtId="165" fontId="74" fillId="14" borderId="2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Alignment="1" applyProtection="1">
      <alignment horizontal="left" indent="1"/>
      <protection/>
    </xf>
    <xf numFmtId="165" fontId="73" fillId="30" borderId="0" xfId="0" applyNumberFormat="1" applyFont="1" applyFill="1" applyBorder="1" applyAlignment="1" applyProtection="1">
      <alignment horizontal="right"/>
      <protection locked="0"/>
    </xf>
    <xf numFmtId="165" fontId="71" fillId="30" borderId="0" xfId="0" applyNumberFormat="1" applyFont="1" applyFill="1" applyAlignment="1">
      <alignment horizontal="right"/>
    </xf>
    <xf numFmtId="165" fontId="71" fillId="30" borderId="0" xfId="0" applyNumberFormat="1" applyFont="1" applyFill="1" applyAlignment="1" applyProtection="1">
      <alignment horizontal="left" indent="2"/>
      <protection/>
    </xf>
    <xf numFmtId="165" fontId="71" fillId="30" borderId="0" xfId="0" applyNumberFormat="1" applyFont="1" applyFill="1" applyAlignment="1">
      <alignment/>
    </xf>
    <xf numFmtId="165" fontId="74" fillId="30" borderId="0" xfId="0" applyNumberFormat="1" applyFont="1" applyFill="1" applyAlignment="1" applyProtection="1">
      <alignment horizontal="left" indent="2"/>
      <protection/>
    </xf>
    <xf numFmtId="165" fontId="73" fillId="30" borderId="0" xfId="0" applyNumberFormat="1" applyFont="1" applyFill="1" applyAlignment="1">
      <alignment horizontal="right"/>
    </xf>
    <xf numFmtId="165" fontId="71" fillId="30" borderId="0" xfId="0" applyNumberFormat="1" applyFont="1" applyFill="1" applyAlignment="1" applyProtection="1">
      <alignment horizontal="left" wrapText="1" indent="4"/>
      <protection/>
    </xf>
    <xf numFmtId="165" fontId="71" fillId="30" borderId="0" xfId="0" applyNumberFormat="1" applyFont="1" applyFill="1" applyAlignment="1">
      <alignment horizontal="right" vertical="center"/>
    </xf>
    <xf numFmtId="165" fontId="72" fillId="30" borderId="0" xfId="0" applyNumberFormat="1" applyFont="1" applyFill="1" applyAlignment="1">
      <alignment horizontal="right" vertical="center"/>
    </xf>
    <xf numFmtId="165" fontId="71" fillId="30" borderId="0" xfId="0" applyNumberFormat="1" applyFont="1" applyFill="1" applyAlignment="1" applyProtection="1">
      <alignment horizontal="left" indent="4"/>
      <protection/>
    </xf>
    <xf numFmtId="165" fontId="71" fillId="0" borderId="0" xfId="0" applyNumberFormat="1" applyFont="1" applyFill="1" applyBorder="1" applyAlignment="1" applyProtection="1">
      <alignment horizontal="right"/>
      <protection locked="0"/>
    </xf>
    <xf numFmtId="165" fontId="74" fillId="30" borderId="0" xfId="0" applyNumberFormat="1" applyFont="1" applyFill="1" applyAlignment="1" applyProtection="1">
      <alignment horizontal="left" vertical="center" wrapText="1" indent="2"/>
      <protection/>
    </xf>
    <xf numFmtId="165" fontId="71" fillId="30" borderId="0" xfId="0" applyNumberFormat="1" applyFont="1" applyFill="1" applyBorder="1" applyAlignment="1" applyProtection="1">
      <alignment horizontal="center" vertical="center"/>
      <protection locked="0"/>
    </xf>
    <xf numFmtId="165" fontId="73" fillId="30" borderId="0" xfId="0" applyNumberFormat="1" applyFont="1" applyFill="1" applyAlignment="1" applyProtection="1">
      <alignment horizontal="right"/>
      <protection/>
    </xf>
    <xf numFmtId="165" fontId="72" fillId="30" borderId="0" xfId="0" applyNumberFormat="1" applyFont="1" applyFill="1" applyAlignment="1">
      <alignment horizontal="right"/>
    </xf>
    <xf numFmtId="165" fontId="71" fillId="30" borderId="0" xfId="0" applyNumberFormat="1" applyFont="1" applyFill="1" applyAlignment="1">
      <alignment horizontal="left" indent="4"/>
    </xf>
    <xf numFmtId="4" fontId="71" fillId="30" borderId="0" xfId="0" applyNumberFormat="1" applyFont="1" applyFill="1" applyAlignment="1">
      <alignment horizontal="right"/>
    </xf>
    <xf numFmtId="4" fontId="74" fillId="30" borderId="0" xfId="0" applyNumberFormat="1" applyFont="1" applyFill="1" applyAlignment="1" applyProtection="1">
      <alignment horizontal="right"/>
      <protection/>
    </xf>
    <xf numFmtId="4" fontId="71" fillId="30" borderId="0" xfId="0" applyNumberFormat="1" applyFont="1" applyFill="1" applyBorder="1" applyAlignment="1" applyProtection="1">
      <alignment horizontal="right"/>
      <protection locked="0"/>
    </xf>
    <xf numFmtId="165" fontId="74" fillId="30" borderId="0" xfId="0" applyNumberFormat="1" applyFont="1" applyFill="1" applyAlignment="1">
      <alignment horizontal="left" wrapText="1" indent="1"/>
    </xf>
    <xf numFmtId="165" fontId="74" fillId="14" borderId="22" xfId="0" applyNumberFormat="1" applyFont="1" applyFill="1" applyBorder="1" applyAlignment="1" applyProtection="1">
      <alignment horizontal="left" vertical="center"/>
      <protection/>
    </xf>
    <xf numFmtId="165" fontId="74" fillId="30" borderId="22" xfId="0" applyNumberFormat="1" applyFont="1" applyFill="1" applyBorder="1" applyAlignment="1" applyProtection="1">
      <alignment horizontal="right" vertical="center"/>
      <protection locked="0"/>
    </xf>
    <xf numFmtId="165" fontId="73" fillId="30" borderId="22" xfId="0" applyNumberFormat="1" applyFont="1" applyFill="1" applyBorder="1" applyAlignment="1" applyProtection="1">
      <alignment horizontal="right" vertical="center"/>
      <protection locked="0"/>
    </xf>
    <xf numFmtId="165" fontId="74" fillId="14" borderId="22" xfId="0" applyNumberFormat="1" applyFont="1" applyFill="1" applyBorder="1" applyAlignment="1" applyProtection="1">
      <alignment horizontal="right" vertical="center"/>
      <protection locked="0"/>
    </xf>
    <xf numFmtId="165" fontId="86" fillId="30" borderId="22" xfId="0" applyNumberFormat="1" applyFont="1" applyFill="1" applyBorder="1" applyAlignment="1" applyProtection="1">
      <alignment horizontal="right" vertical="center"/>
      <protection locked="0"/>
    </xf>
    <xf numFmtId="4" fontId="74" fillId="14" borderId="22" xfId="94" applyNumberFormat="1" applyFont="1" applyFill="1" applyBorder="1" applyAlignment="1" applyProtection="1">
      <alignment horizontal="right" vertical="center"/>
      <protection/>
    </xf>
    <xf numFmtId="4" fontId="74" fillId="14" borderId="0" xfId="94" applyNumberFormat="1" applyFont="1" applyFill="1" applyBorder="1" applyAlignment="1" applyProtection="1">
      <alignment horizontal="right" vertical="center"/>
      <protection/>
    </xf>
    <xf numFmtId="4" fontId="71" fillId="14" borderId="0" xfId="0" applyNumberFormat="1" applyFont="1" applyFill="1" applyBorder="1" applyAlignment="1" applyProtection="1">
      <alignment horizontal="center"/>
      <protection locked="0"/>
    </xf>
    <xf numFmtId="165" fontId="71" fillId="14" borderId="0" xfId="0" applyNumberFormat="1" applyFont="1" applyFill="1" applyBorder="1" applyAlignment="1" applyProtection="1">
      <alignment horizontal="center"/>
      <protection locked="0"/>
    </xf>
    <xf numFmtId="165" fontId="71" fillId="14" borderId="0" xfId="0" applyNumberFormat="1" applyFont="1" applyFill="1" applyBorder="1" applyAlignment="1" applyProtection="1">
      <alignment horizontal="center" vertical="center"/>
      <protection locked="0"/>
    </xf>
    <xf numFmtId="165" fontId="87" fillId="30" borderId="0" xfId="0" applyNumberFormat="1" applyFont="1" applyFill="1" applyBorder="1" applyAlignment="1" applyProtection="1">
      <alignment horizontal="left" vertical="center"/>
      <protection/>
    </xf>
    <xf numFmtId="165" fontId="77" fillId="30" borderId="0" xfId="0" applyNumberFormat="1" applyFont="1" applyFill="1" applyBorder="1" applyAlignment="1" applyProtection="1">
      <alignment horizontal="right" vertical="center"/>
      <protection locked="0"/>
    </xf>
    <xf numFmtId="4" fontId="74" fillId="30" borderId="0" xfId="94" applyNumberFormat="1" applyFont="1" applyFill="1" applyBorder="1" applyAlignment="1" applyProtection="1">
      <alignment horizontal="right" vertical="center"/>
      <protection/>
    </xf>
    <xf numFmtId="4" fontId="77" fillId="30" borderId="0" xfId="94" applyNumberFormat="1" applyFont="1" applyFill="1" applyBorder="1" applyAlignment="1" applyProtection="1">
      <alignment horizontal="right" vertical="center"/>
      <protection/>
    </xf>
    <xf numFmtId="4" fontId="75" fillId="30" borderId="0" xfId="0" applyNumberFormat="1" applyFont="1" applyFill="1" applyBorder="1" applyAlignment="1" applyProtection="1">
      <alignment horizontal="center"/>
      <protection locked="0"/>
    </xf>
    <xf numFmtId="165" fontId="75" fillId="30" borderId="0" xfId="0" applyNumberFormat="1" applyFont="1" applyFill="1" applyBorder="1" applyAlignment="1" applyProtection="1">
      <alignment horizontal="center"/>
      <protection locked="0"/>
    </xf>
    <xf numFmtId="165" fontId="75" fillId="30" borderId="0" xfId="0" applyNumberFormat="1" applyFont="1" applyFill="1" applyBorder="1" applyAlignment="1" applyProtection="1">
      <alignment horizontal="center" vertical="center"/>
      <protection locked="0"/>
    </xf>
    <xf numFmtId="165" fontId="74" fillId="30" borderId="0" xfId="0" applyNumberFormat="1" applyFont="1" applyFill="1" applyBorder="1" applyAlignment="1" applyProtection="1">
      <alignment horizontal="left" vertical="center"/>
      <protection/>
    </xf>
    <xf numFmtId="165" fontId="73" fillId="0" borderId="0" xfId="0" applyNumberFormat="1" applyFont="1" applyFill="1" applyBorder="1" applyAlignment="1" applyProtection="1">
      <alignment horizontal="right" vertical="center"/>
      <protection locked="0"/>
    </xf>
    <xf numFmtId="165" fontId="86" fillId="30" borderId="0" xfId="0" applyNumberFormat="1" applyFont="1" applyFill="1" applyBorder="1" applyAlignment="1" applyProtection="1">
      <alignment horizontal="right" vertical="center"/>
      <protection locked="0"/>
    </xf>
    <xf numFmtId="165" fontId="74" fillId="32" borderId="0" xfId="0" applyNumberFormat="1" applyFont="1" applyFill="1" applyBorder="1" applyAlignment="1" applyProtection="1">
      <alignment horizontal="right" vertical="center"/>
      <protection locked="0"/>
    </xf>
    <xf numFmtId="165" fontId="73" fillId="32" borderId="0" xfId="0" applyNumberFormat="1" applyFont="1" applyFill="1" applyBorder="1" applyAlignment="1" applyProtection="1">
      <alignment horizontal="right" vertical="center"/>
      <protection locked="0"/>
    </xf>
    <xf numFmtId="165" fontId="74" fillId="28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22" xfId="0" applyNumberFormat="1" applyFont="1" applyFill="1" applyBorder="1" applyAlignment="1" applyProtection="1">
      <alignment horizontal="right" vertical="center"/>
      <protection/>
    </xf>
    <xf numFmtId="165" fontId="71" fillId="30" borderId="0" xfId="0" applyNumberFormat="1" applyFont="1" applyFill="1" applyAlignment="1" applyProtection="1">
      <alignment horizontal="left"/>
      <protection locked="0"/>
    </xf>
    <xf numFmtId="165" fontId="74" fillId="30" borderId="0" xfId="94" applyNumberFormat="1" applyFont="1" applyFill="1" applyBorder="1" applyAlignment="1" applyProtection="1">
      <alignment horizontal="right" vertical="center"/>
      <protection/>
    </xf>
    <xf numFmtId="165" fontId="74" fillId="30" borderId="0" xfId="0" applyNumberFormat="1" applyFont="1" applyFill="1" applyBorder="1" applyAlignment="1" applyProtection="1">
      <alignment horizontal="left" vertical="center"/>
      <protection/>
    </xf>
    <xf numFmtId="0" fontId="0" fillId="30" borderId="0" xfId="0" applyFill="1" applyBorder="1" applyAlignment="1">
      <alignment vertical="center"/>
    </xf>
    <xf numFmtId="167" fontId="20" fillId="30" borderId="0" xfId="0" applyNumberFormat="1" applyFont="1" applyFill="1" applyBorder="1" applyAlignment="1">
      <alignment vertical="center"/>
    </xf>
    <xf numFmtId="0" fontId="41" fillId="3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165" fontId="71" fillId="30" borderId="0" xfId="0" applyNumberFormat="1" applyFont="1" applyFill="1" applyBorder="1" applyAlignment="1" applyProtection="1">
      <alignment horizontal="right" vertical="center"/>
      <protection locked="0"/>
    </xf>
    <xf numFmtId="165" fontId="0" fillId="30" borderId="0" xfId="0" applyNumberFormat="1" applyFill="1" applyBorder="1" applyAlignment="1">
      <alignment vertical="center"/>
    </xf>
    <xf numFmtId="167" fontId="20" fillId="30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>
      <alignment horizontal="left" vertical="center" wrapText="1" readingOrder="1"/>
    </xf>
    <xf numFmtId="165" fontId="88" fillId="30" borderId="0" xfId="0" applyNumberFormat="1" applyFont="1" applyFill="1" applyBorder="1" applyAlignment="1" applyProtection="1">
      <alignment horizontal="right" vertical="center"/>
      <protection locked="0"/>
    </xf>
    <xf numFmtId="49" fontId="74" fillId="30" borderId="0" xfId="0" applyNumberFormat="1" applyFont="1" applyFill="1" applyBorder="1" applyAlignment="1">
      <alignment horizontal="left" vertical="center" wrapText="1" readingOrder="1"/>
    </xf>
    <xf numFmtId="4" fontId="71" fillId="30" borderId="0" xfId="0" applyNumberFormat="1" applyFont="1" applyFill="1" applyAlignment="1" applyProtection="1">
      <alignment horizontal="right"/>
      <protection locked="0"/>
    </xf>
    <xf numFmtId="165" fontId="74" fillId="30" borderId="0" xfId="0" applyNumberFormat="1" applyFont="1" applyFill="1" applyAlignment="1" applyProtection="1">
      <alignment horizontal="right"/>
      <protection locked="0"/>
    </xf>
    <xf numFmtId="166" fontId="74" fillId="30" borderId="0" xfId="0" applyNumberFormat="1" applyFont="1" applyFill="1" applyAlignment="1" applyProtection="1">
      <alignment horizontal="right"/>
      <protection locked="0"/>
    </xf>
    <xf numFmtId="165" fontId="72" fillId="0" borderId="0" xfId="0" applyNumberFormat="1" applyFont="1" applyFill="1" applyAlignment="1" applyProtection="1">
      <alignment horizontal="right"/>
      <protection locked="0"/>
    </xf>
    <xf numFmtId="165" fontId="72" fillId="0" borderId="0" xfId="0" applyNumberFormat="1" applyFont="1" applyFill="1" applyAlignment="1" applyProtection="1">
      <alignment horizontal="center"/>
      <protection locked="0"/>
    </xf>
    <xf numFmtId="165" fontId="74" fillId="30" borderId="23" xfId="0" applyNumberFormat="1" applyFont="1" applyFill="1" applyBorder="1" applyAlignment="1" applyProtection="1">
      <alignment horizontal="left" vertical="center" wrapText="1"/>
      <protection/>
    </xf>
    <xf numFmtId="0" fontId="0" fillId="30" borderId="23" xfId="0" applyFill="1" applyBorder="1" applyAlignment="1">
      <alignment vertical="center"/>
    </xf>
    <xf numFmtId="0" fontId="74" fillId="30" borderId="0" xfId="0" applyFont="1" applyFill="1" applyBorder="1" applyAlignment="1">
      <alignment horizontal="center"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Border="1" applyAlignment="1">
      <alignment horizontal="center" vertical="top" wrapText="1"/>
    </xf>
    <xf numFmtId="49" fontId="78" fillId="30" borderId="0" xfId="0" applyNumberFormat="1" applyFont="1" applyFill="1" applyBorder="1" applyAlignment="1" applyProtection="1">
      <alignment horizontal="center"/>
      <protection locked="0"/>
    </xf>
    <xf numFmtId="49" fontId="74" fillId="30" borderId="0" xfId="0" applyNumberFormat="1" applyFont="1" applyFill="1" applyBorder="1" applyAlignment="1" applyProtection="1">
      <alignment horizontal="center" wrapText="1"/>
      <protection locked="0"/>
    </xf>
  </cellXfs>
  <cellStyles count="292">
    <cellStyle name="Normal" xfId="0"/>
    <cellStyle name="_1_²ÜºÈÆø?0*Normal_laroux_7_laroux_1_²ÜºÈÆø (³é³Ýó Ø.)?_x0007_!ß&quot;VQ_x0006_?_x0006_?ults?_x0006_$Currency [0]_laroux_5_results_Sheet1?_x001C_Currency [" xfId="15"/>
    <cellStyle name="1 indent" xfId="16"/>
    <cellStyle name="2 indents" xfId="17"/>
    <cellStyle name="20 % - Accent1" xfId="18"/>
    <cellStyle name="20 % - Accent2" xfId="19"/>
    <cellStyle name="20 % - Accent3" xfId="20"/>
    <cellStyle name="20 % - Accent4" xfId="21"/>
    <cellStyle name="20 % - Accent5" xfId="22"/>
    <cellStyle name="20 % - Accent6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3 indents" xfId="30"/>
    <cellStyle name="4 indents" xfId="31"/>
    <cellStyle name="40 % - Accent1" xfId="32"/>
    <cellStyle name="40 % - Accent2" xfId="33"/>
    <cellStyle name="40 % - Accent3" xfId="34"/>
    <cellStyle name="40 % - Accent4" xfId="35"/>
    <cellStyle name="40 % - Accent5" xfId="36"/>
    <cellStyle name="40 % - Accent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5 indents" xfId="44"/>
    <cellStyle name="60 % - Accent1" xfId="45"/>
    <cellStyle name="60 % - Accent2" xfId="46"/>
    <cellStyle name="60 % - Accent3" xfId="47"/>
    <cellStyle name="60 % - Accent4" xfId="48"/>
    <cellStyle name="60 % - Accent5" xfId="49"/>
    <cellStyle name="60 % - Accent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eia?nnueea" xfId="63"/>
    <cellStyle name="Ãèïåðññûëêà" xfId="64"/>
    <cellStyle name="al_laroux_7_laroux_1_²ðò²Ê´²ÜÎ?_x001F_Normal_laroux_7_laroux_1_²ÜºÈÆø?0*Normal_laroux_7_laroux_1_²ÜºÈÆø (³é³Ýó Ø.)?" xfId="65"/>
    <cellStyle name="Array" xfId="66"/>
    <cellStyle name="Array Enter" xfId="67"/>
    <cellStyle name="Avertissement" xfId="68"/>
    <cellStyle name="Bad" xfId="69"/>
    <cellStyle name="Body" xfId="70"/>
    <cellStyle name="Bun" xfId="71"/>
    <cellStyle name="Calcul" xfId="72"/>
    <cellStyle name="Calculation" xfId="73"/>
    <cellStyle name="Celkem" xfId="74"/>
    <cellStyle name="Cellule liée" xfId="75"/>
    <cellStyle name="Celulă legată" xfId="76"/>
    <cellStyle name="Check Cell" xfId="77"/>
    <cellStyle name="clsAltData" xfId="78"/>
    <cellStyle name="clsAltMRVData" xfId="79"/>
    <cellStyle name="clsBlank" xfId="80"/>
    <cellStyle name="clsColumnHeader" xfId="81"/>
    <cellStyle name="clsData" xfId="82"/>
    <cellStyle name="clsDefault" xfId="83"/>
    <cellStyle name="clsFooter" xfId="84"/>
    <cellStyle name="clsIndexTableData" xfId="85"/>
    <cellStyle name="clsIndexTableHdr" xfId="86"/>
    <cellStyle name="clsIndexTableTitle" xfId="87"/>
    <cellStyle name="clsMRVData" xfId="88"/>
    <cellStyle name="clsReportFooter" xfId="89"/>
    <cellStyle name="clsReportHeader" xfId="90"/>
    <cellStyle name="clsRowHeader" xfId="91"/>
    <cellStyle name="clsScale" xfId="92"/>
    <cellStyle name="clsSection" xfId="93"/>
    <cellStyle name="Comma" xfId="94"/>
    <cellStyle name="Comma  - Style1" xfId="95"/>
    <cellStyle name="Comma  - Style2" xfId="96"/>
    <cellStyle name="Comma  - Style3" xfId="97"/>
    <cellStyle name="Comma  - Style4" xfId="98"/>
    <cellStyle name="Comma  - Style5" xfId="99"/>
    <cellStyle name="Comma  - Style6" xfId="100"/>
    <cellStyle name="Comma  - Style7" xfId="101"/>
    <cellStyle name="Comma  - Style8" xfId="102"/>
    <cellStyle name="Comma [0]" xfId="103"/>
    <cellStyle name="Comma(3)" xfId="104"/>
    <cellStyle name="Comma[mine]" xfId="105"/>
    <cellStyle name="Comma0" xfId="106"/>
    <cellStyle name="Comma0 - Style3" xfId="107"/>
    <cellStyle name="Comma0_040902bgr_bop_active" xfId="108"/>
    <cellStyle name="Commentaire" xfId="109"/>
    <cellStyle name="cucu" xfId="110"/>
    <cellStyle name="Curren - Style3" xfId="111"/>
    <cellStyle name="Curren - Style4" xfId="112"/>
    <cellStyle name="Currency" xfId="113"/>
    <cellStyle name="Currency [0]" xfId="114"/>
    <cellStyle name="Currency0" xfId="115"/>
    <cellStyle name="Date" xfId="116"/>
    <cellStyle name="Datum" xfId="117"/>
    <cellStyle name="Dezimal [0]_laroux" xfId="118"/>
    <cellStyle name="Dezimal_laroux" xfId="119"/>
    <cellStyle name="Entrée" xfId="120"/>
    <cellStyle name="Eronat" xfId="121"/>
    <cellStyle name="Euro" xfId="122"/>
    <cellStyle name="Excel.Chart" xfId="123"/>
    <cellStyle name="Explanatory Text" xfId="124"/>
    <cellStyle name="Ezres [0]_10mell99" xfId="125"/>
    <cellStyle name="Ezres_10mell99" xfId="126"/>
    <cellStyle name="F2" xfId="127"/>
    <cellStyle name="F3" xfId="128"/>
    <cellStyle name="F4" xfId="129"/>
    <cellStyle name="F5" xfId="130"/>
    <cellStyle name="F5 - Style8" xfId="131"/>
    <cellStyle name="F6" xfId="132"/>
    <cellStyle name="F6 - Style5" xfId="133"/>
    <cellStyle name="F7" xfId="134"/>
    <cellStyle name="F7 - Style7" xfId="135"/>
    <cellStyle name="F8" xfId="136"/>
    <cellStyle name="F8 - Style6" xfId="137"/>
    <cellStyle name="Finanční0" xfId="138"/>
    <cellStyle name="Finanení0" xfId="139"/>
    <cellStyle name="Finanèní0" xfId="140"/>
    <cellStyle name="Fixed" xfId="141"/>
    <cellStyle name="Fixed (0)" xfId="142"/>
    <cellStyle name="Fixed (1)" xfId="143"/>
    <cellStyle name="Fixed (2)" xfId="144"/>
    <cellStyle name="Fixed_BGR_FIS" xfId="145"/>
    <cellStyle name="fixed0 - Style4" xfId="146"/>
    <cellStyle name="Fixed1 - Style1" xfId="147"/>
    <cellStyle name="Fixed1 - Style2" xfId="148"/>
    <cellStyle name="Fixed2 - Style2" xfId="149"/>
    <cellStyle name="Followed Hyperlink" xfId="150"/>
    <cellStyle name="Good" xfId="151"/>
    <cellStyle name="Grey" xfId="152"/>
    <cellStyle name="Heading 1" xfId="153"/>
    <cellStyle name="Heading 2" xfId="154"/>
    <cellStyle name="Heading 3" xfId="155"/>
    <cellStyle name="Heading 4" xfId="156"/>
    <cellStyle name="Heading1 1" xfId="157"/>
    <cellStyle name="Heading2" xfId="158"/>
    <cellStyle name="Hiperhivatkozás" xfId="159"/>
    <cellStyle name="Hipervínculo_IIF" xfId="160"/>
    <cellStyle name="Hyperlink" xfId="161"/>
    <cellStyle name="Iau?iue_Eeno1" xfId="162"/>
    <cellStyle name="Ieșire" xfId="163"/>
    <cellStyle name="imf-one decimal" xfId="164"/>
    <cellStyle name="imf-zero decimal" xfId="165"/>
    <cellStyle name="Input" xfId="166"/>
    <cellStyle name="Input [yellow]" xfId="167"/>
    <cellStyle name="Input_19 zile feb" xfId="168"/>
    <cellStyle name="Insatisfaisant" xfId="169"/>
    <cellStyle name="Intrare" xfId="170"/>
    <cellStyle name="Ioe?uaaaoayny aeia?nnueea" xfId="171"/>
    <cellStyle name="Îáû÷íûé_AMD" xfId="172"/>
    <cellStyle name="Îòêðûâàâøàÿñÿ ãèïåðññûëêà" xfId="173"/>
    <cellStyle name="Label" xfId="174"/>
    <cellStyle name="leftli - Style3" xfId="175"/>
    <cellStyle name="Linked Cell" xfId="176"/>
    <cellStyle name="MacroCode" xfId="177"/>
    <cellStyle name="Már látott hiperhivatkozás" xfId="178"/>
    <cellStyle name="Měna0" xfId="179"/>
    <cellStyle name="měny_DEFLÁTORY  3q 1998" xfId="180"/>
    <cellStyle name="Millares [0]_11.1.3. bis" xfId="181"/>
    <cellStyle name="Millares_11.1.3. bis" xfId="182"/>
    <cellStyle name="Milliers [0]_Encours - Apr rééch" xfId="183"/>
    <cellStyle name="Milliers_Cash flows projection" xfId="184"/>
    <cellStyle name="Mina0" xfId="185"/>
    <cellStyle name="Mìna0" xfId="186"/>
    <cellStyle name="Moneda [0]_11.1.3. bis" xfId="187"/>
    <cellStyle name="Moneda_11.1.3. bis" xfId="188"/>
    <cellStyle name="Monétaire [0]_Encours - Apr rééch" xfId="189"/>
    <cellStyle name="Monétaire_Encours - Apr rééch" xfId="190"/>
    <cellStyle name="Navadno_Slo" xfId="191"/>
    <cellStyle name="Nedefinován" xfId="192"/>
    <cellStyle name="Neutral" xfId="193"/>
    <cellStyle name="Neutre" xfId="194"/>
    <cellStyle name="Neutru" xfId="195"/>
    <cellStyle name="no dec" xfId="196"/>
    <cellStyle name="No-definido" xfId="197"/>
    <cellStyle name="Normaali_CENTRAL" xfId="198"/>
    <cellStyle name="Normal - Modelo1" xfId="199"/>
    <cellStyle name="Normal - Style1" xfId="200"/>
    <cellStyle name="Normal - Style2" xfId="201"/>
    <cellStyle name="Normal - Style3" xfId="202"/>
    <cellStyle name="Normal - Style5" xfId="203"/>
    <cellStyle name="Normal - Style6" xfId="204"/>
    <cellStyle name="Normal - Style7" xfId="205"/>
    <cellStyle name="Normal - Style8" xfId="206"/>
    <cellStyle name="Normal 2" xfId="207"/>
    <cellStyle name="Normal Table" xfId="208"/>
    <cellStyle name="Normál_10mell99" xfId="209"/>
    <cellStyle name="Normal_realizari.bugete.2005" xfId="210"/>
    <cellStyle name="normálne_HDP-OD~1" xfId="211"/>
    <cellStyle name="normální_agricult_1" xfId="212"/>
    <cellStyle name="Normßl - Style1" xfId="213"/>
    <cellStyle name="Notă" xfId="214"/>
    <cellStyle name="Note" xfId="215"/>
    <cellStyle name="Ôèíàíñîâûé_Tranche" xfId="216"/>
    <cellStyle name="Output" xfId="217"/>
    <cellStyle name="Pénznem [0]_10mell99" xfId="218"/>
    <cellStyle name="Pénznem_10mell99" xfId="219"/>
    <cellStyle name="Percen - Style1" xfId="220"/>
    <cellStyle name="Percent" xfId="221"/>
    <cellStyle name="Percent [2]" xfId="222"/>
    <cellStyle name="percentage difference" xfId="223"/>
    <cellStyle name="percentage difference one decimal" xfId="224"/>
    <cellStyle name="percentage difference zero decimal" xfId="225"/>
    <cellStyle name="Pevný" xfId="226"/>
    <cellStyle name="Presentation" xfId="227"/>
    <cellStyle name="Publication" xfId="228"/>
    <cellStyle name="Red Text" xfId="229"/>
    <cellStyle name="reduced" xfId="230"/>
    <cellStyle name="s1" xfId="231"/>
    <cellStyle name="Satisfaisant" xfId="232"/>
    <cellStyle name="Sortie" xfId="233"/>
    <cellStyle name="Standard_laroux" xfId="234"/>
    <cellStyle name="STYL1 - Style1" xfId="235"/>
    <cellStyle name="Style1" xfId="236"/>
    <cellStyle name="Text" xfId="237"/>
    <cellStyle name="Text avertisment" xfId="238"/>
    <cellStyle name="text BoldBlack" xfId="239"/>
    <cellStyle name="text BoldUnderline" xfId="240"/>
    <cellStyle name="text BoldUnderlineER" xfId="241"/>
    <cellStyle name="text BoldUndlnBlack" xfId="242"/>
    <cellStyle name="Text explicativ" xfId="243"/>
    <cellStyle name="text LightGreen" xfId="244"/>
    <cellStyle name="Texte explicatif" xfId="245"/>
    <cellStyle name="Title" xfId="246"/>
    <cellStyle name="Titlu" xfId="247"/>
    <cellStyle name="Titlu 1" xfId="248"/>
    <cellStyle name="Titlu 2" xfId="249"/>
    <cellStyle name="Titlu 3" xfId="250"/>
    <cellStyle name="Titlu 4" xfId="251"/>
    <cellStyle name="Titre" xfId="252"/>
    <cellStyle name="Titre 1" xfId="253"/>
    <cellStyle name="Titre 2" xfId="254"/>
    <cellStyle name="Titre 3" xfId="255"/>
    <cellStyle name="Titre 4" xfId="256"/>
    <cellStyle name="TopGrey" xfId="257"/>
    <cellStyle name="Total" xfId="258"/>
    <cellStyle name="Undefiniert" xfId="259"/>
    <cellStyle name="ux?_x0018_Normal_laroux_7_laroux_1?&quot;Normal_laroux_7_laroux_1_²ðò²Ê´²ÜÎ?_x001F_Normal_laroux_7_laroux_1_²ÜºÈÆø?0*Normal_laro" xfId="260"/>
    <cellStyle name="ux_1_²ÜºÈÆø (³é³Ýó Ø.)?_x0007_!ß&quot;VQ_x0006_?_x0006_?ults?_x0006_$Currency [0]_laroux_5_results_Sheet1?_x001C_Currency [0]_laroux_5_Sheet1?_x0015_Cur" xfId="261"/>
    <cellStyle name="Verificare celulă" xfId="262"/>
    <cellStyle name="Vérification" xfId="263"/>
    <cellStyle name="Virgulă_BGC  OCT  2010 " xfId="264"/>
    <cellStyle name="Währung [0]_laroux" xfId="265"/>
    <cellStyle name="Währung_laroux" xfId="266"/>
    <cellStyle name="Warning Text" xfId="267"/>
    <cellStyle name="WebAnchor1" xfId="268"/>
    <cellStyle name="WebAnchor2" xfId="269"/>
    <cellStyle name="WebAnchor3" xfId="270"/>
    <cellStyle name="WebAnchor4" xfId="271"/>
    <cellStyle name="WebAnchor5" xfId="272"/>
    <cellStyle name="WebAnchor6" xfId="273"/>
    <cellStyle name="WebAnchor7" xfId="274"/>
    <cellStyle name="Webexclude" xfId="275"/>
    <cellStyle name="WebFN" xfId="276"/>
    <cellStyle name="WebFN1" xfId="277"/>
    <cellStyle name="WebFN2" xfId="278"/>
    <cellStyle name="WebFN3" xfId="279"/>
    <cellStyle name="WebFN4" xfId="280"/>
    <cellStyle name="WebHR" xfId="281"/>
    <cellStyle name="WebIndent1" xfId="282"/>
    <cellStyle name="WebIndent1wFN3" xfId="283"/>
    <cellStyle name="WebIndent2" xfId="284"/>
    <cellStyle name="WebNoBR" xfId="285"/>
    <cellStyle name="Záhlaví 1" xfId="286"/>
    <cellStyle name="Záhlaví 2" xfId="287"/>
    <cellStyle name="zero" xfId="288"/>
    <cellStyle name="ДАТА" xfId="289"/>
    <cellStyle name="Денежный [0]_453" xfId="290"/>
    <cellStyle name="Денежный_453" xfId="291"/>
    <cellStyle name="ЗАГОЛОВОК1" xfId="292"/>
    <cellStyle name="ЗАГОЛОВОК2" xfId="293"/>
    <cellStyle name="ИТОГОВЫЙ" xfId="294"/>
    <cellStyle name="Обычный_02-682" xfId="295"/>
    <cellStyle name="Открывавшаяся гиперссылка_Table_B_1999_2000_2001" xfId="296"/>
    <cellStyle name="ПРОЦЕНТНЫЙ_BOPENGC" xfId="297"/>
    <cellStyle name="ТЕКСТ" xfId="298"/>
    <cellStyle name="Тысячи [0]_Dk98" xfId="299"/>
    <cellStyle name="Тысячи_Dk98" xfId="300"/>
    <cellStyle name="УровеньСтолб_1_Структура державного боргу" xfId="301"/>
    <cellStyle name="УровеньСтрок_1_Структура державного боргу" xfId="302"/>
    <cellStyle name="ФИКСИРОВАННЫЙ" xfId="303"/>
    <cellStyle name="Финансовый [0]_453" xfId="304"/>
    <cellStyle name="Финансовый_1 квартал-уточ.платежі" xfId="30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3\01%20ianuarie%202013\bgc%20ianuarie%20201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bgc ian  2013 "/>
      <sheetName val="2012 - 2013"/>
      <sheetName val="progr.%.exec"/>
      <sheetName val="Sinteza - Ax 2"/>
      <sheetName val="UAT  2013  ian"/>
      <sheetName val="tit 56 adm centrala"/>
      <sheetName val="bgc desfasurat"/>
      <sheetName val="decembrie estim FEN"/>
      <sheetName val="tit 56 UAT"/>
      <sheetName val="Corectii UE"/>
      <sheetName val=" consolidari ian"/>
      <sheetName val="Sinteza - Ax 2 Rap"/>
      <sheetName val="prog 2013"/>
      <sheetName val="bgc dec 2012  (in luna)"/>
      <sheetName val="UAT  2012 dec (in luna)"/>
      <sheetName val="programe blocate"/>
      <sheetName val="BGC 2012"/>
      <sheetName val="FNUASS deductibile"/>
      <sheetName val="BSOM deductibile"/>
      <sheetName val="BAS deductibile"/>
      <sheetName val="bs chel"/>
      <sheetName val="progr exec trim III (2)"/>
      <sheetName val="BGCrectif II 2012"/>
      <sheetName val="BGC (2)"/>
      <sheetName val="progr exec trim III"/>
      <sheetName val="IAN  BGC  2012 "/>
      <sheetName val="ian2012"/>
      <sheetName val="BGC cumulat"/>
      <sheetName val="BGC in luna"/>
      <sheetName val="F Prop"/>
      <sheetName val="cnadr"/>
      <sheetName val="UAT  iulie valori"/>
      <sheetName val="UAT  2012 aug in luna"/>
      <sheetName val="UAT  2012 iunie  (valori"/>
      <sheetName val="Anexa program executie"/>
      <sheetName val="Foaie1"/>
      <sheetName val="SPECIAL_AND"/>
      <sheetName val="CNADN_ex"/>
      <sheetName val="UAT  2012  martie "/>
      <sheetName val="Feb  BGC  2012 "/>
      <sheetName val="dob_trez"/>
      <sheetName val="progr BL 2012 "/>
      <sheetName val="pres (DS)"/>
      <sheetName val="autofin)"/>
      <sheetName val="BGC prog rectif.2012"/>
      <sheetName val="UAT  2012 "/>
    </sheetNames>
    <sheetDataSet>
      <sheetData sheetId="4">
        <row r="27">
          <cell r="J27">
            <v>3912.648155</v>
          </cell>
        </row>
        <row r="36">
          <cell r="J36">
            <v>1.006208</v>
          </cell>
        </row>
        <row r="41">
          <cell r="J41">
            <v>16.638004</v>
          </cell>
        </row>
        <row r="43">
          <cell r="J43">
            <v>1176.443592</v>
          </cell>
        </row>
        <row r="46">
          <cell r="J46">
            <v>0.742955</v>
          </cell>
        </row>
        <row r="48">
          <cell r="J48">
            <v>261.243994</v>
          </cell>
        </row>
        <row r="53">
          <cell r="B53">
            <v>1112.706937</v>
          </cell>
          <cell r="J53">
            <v>1112.706937</v>
          </cell>
        </row>
        <row r="56">
          <cell r="J56">
            <v>0.734703</v>
          </cell>
        </row>
        <row r="58">
          <cell r="J58">
            <v>2.8295239999999997</v>
          </cell>
        </row>
        <row r="62">
          <cell r="J62">
            <v>101.587789</v>
          </cell>
        </row>
        <row r="65">
          <cell r="J65">
            <v>0</v>
          </cell>
        </row>
        <row r="67">
          <cell r="J67">
            <v>12.650298</v>
          </cell>
        </row>
        <row r="71">
          <cell r="J71">
            <v>805.154305</v>
          </cell>
        </row>
        <row r="74">
          <cell r="J74">
            <v>21.384163</v>
          </cell>
        </row>
        <row r="76">
          <cell r="J76">
            <v>284.73016800000005</v>
          </cell>
        </row>
        <row r="80">
          <cell r="J80">
            <v>0.66</v>
          </cell>
        </row>
        <row r="83">
          <cell r="J83">
            <v>114.135515</v>
          </cell>
        </row>
        <row r="84">
          <cell r="J84">
            <v>0</v>
          </cell>
        </row>
        <row r="95">
          <cell r="J95">
            <v>3236.831927</v>
          </cell>
        </row>
        <row r="99">
          <cell r="J99">
            <v>1501.86967</v>
          </cell>
        </row>
        <row r="101">
          <cell r="J101">
            <v>822.0898860000001</v>
          </cell>
        </row>
        <row r="103">
          <cell r="J103">
            <v>48.857376</v>
          </cell>
        </row>
        <row r="105">
          <cell r="J105">
            <v>173.025606</v>
          </cell>
        </row>
        <row r="109">
          <cell r="J109">
            <v>43.42040899999999</v>
          </cell>
        </row>
        <row r="111">
          <cell r="J111">
            <v>8.36482</v>
          </cell>
        </row>
        <row r="113">
          <cell r="J113">
            <v>177.105584</v>
          </cell>
        </row>
        <row r="114">
          <cell r="J114">
            <v>205.545327</v>
          </cell>
        </row>
        <row r="116">
          <cell r="J116">
            <v>25.821493999999998</v>
          </cell>
        </row>
        <row r="119">
          <cell r="J119">
            <v>0</v>
          </cell>
        </row>
        <row r="124">
          <cell r="J124">
            <v>209.685779</v>
          </cell>
        </row>
        <row r="125">
          <cell r="J125">
            <v>2.7233229999999997</v>
          </cell>
        </row>
        <row r="126">
          <cell r="J126">
            <v>0</v>
          </cell>
        </row>
        <row r="127">
          <cell r="J127">
            <v>0</v>
          </cell>
        </row>
        <row r="129">
          <cell r="J129">
            <v>42.430198999999995</v>
          </cell>
        </row>
        <row r="130">
          <cell r="J130">
            <v>-24.107546</v>
          </cell>
        </row>
      </sheetData>
      <sheetData sheetId="10">
        <row r="42">
          <cell r="F42">
            <v>51.246759</v>
          </cell>
        </row>
        <row r="48">
          <cell r="F48">
            <v>3.462607</v>
          </cell>
        </row>
        <row r="50">
          <cell r="F50">
            <v>0</v>
          </cell>
        </row>
        <row r="61">
          <cell r="F61">
            <v>11.986452</v>
          </cell>
        </row>
        <row r="62">
          <cell r="F62">
            <v>0.2199</v>
          </cell>
        </row>
        <row r="93">
          <cell r="F93">
            <v>0</v>
          </cell>
        </row>
        <row r="96">
          <cell r="F96">
            <v>0</v>
          </cell>
        </row>
        <row r="106">
          <cell r="F106">
            <v>25.824082999999998</v>
          </cell>
        </row>
        <row r="112">
          <cell r="F112">
            <v>0</v>
          </cell>
        </row>
        <row r="113">
          <cell r="F113">
            <v>9.318071</v>
          </cell>
        </row>
        <row r="114">
          <cell r="F114">
            <v>0.036594</v>
          </cell>
        </row>
        <row r="121">
          <cell r="F121">
            <v>19.167301</v>
          </cell>
        </row>
        <row r="122">
          <cell r="F122">
            <v>2.709664</v>
          </cell>
        </row>
        <row r="124">
          <cell r="F124">
            <v>0</v>
          </cell>
        </row>
        <row r="134">
          <cell r="F134">
            <v>0.66</v>
          </cell>
        </row>
        <row r="143">
          <cell r="F143">
            <v>225.123266</v>
          </cell>
        </row>
        <row r="144">
          <cell r="F144">
            <v>494.34199099999995</v>
          </cell>
        </row>
        <row r="148">
          <cell r="F148">
            <v>3.067972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4">
          <cell r="F164">
            <v>0</v>
          </cell>
        </row>
        <row r="166">
          <cell r="F166">
            <v>0</v>
          </cell>
        </row>
      </sheetData>
      <sheetData sheetId="12">
        <row r="87">
          <cell r="K87">
            <v>0</v>
          </cell>
        </row>
        <row r="89">
          <cell r="H89">
            <v>0</v>
          </cell>
        </row>
      </sheetData>
      <sheetData sheetId="36">
        <row r="43">
          <cell r="B43">
            <v>88.505</v>
          </cell>
        </row>
        <row r="52">
          <cell r="B52">
            <v>0</v>
          </cell>
        </row>
        <row r="55">
          <cell r="B55">
            <v>0</v>
          </cell>
        </row>
        <row r="69">
          <cell r="B69">
            <v>16.04752</v>
          </cell>
        </row>
        <row r="71">
          <cell r="B71">
            <v>32.45275</v>
          </cell>
        </row>
        <row r="74">
          <cell r="B74">
            <v>2.774</v>
          </cell>
          <cell r="C74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2">
          <cell r="B82">
            <v>448.65844300000003</v>
          </cell>
        </row>
        <row r="87">
          <cell r="B87">
            <v>5</v>
          </cell>
          <cell r="C87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77">
    <tabColor indexed="46"/>
  </sheetPr>
  <dimension ref="A1:Y225"/>
  <sheetViews>
    <sheetView showZeros="0" tabSelected="1" zoomScale="75" zoomScaleNormal="75" zoomScaleSheetLayoutView="55" workbookViewId="0" topLeftCell="A31">
      <selection activeCell="A18" sqref="A18"/>
    </sheetView>
  </sheetViews>
  <sheetFormatPr defaultColWidth="9.140625" defaultRowHeight="19.5" customHeight="1" outlineLevelRow="1"/>
  <cols>
    <col min="1" max="1" width="46.57421875" style="1" customWidth="1"/>
    <col min="2" max="2" width="16.7109375" style="1" customWidth="1"/>
    <col min="3" max="3" width="12.8515625" style="1" customWidth="1"/>
    <col min="4" max="4" width="13.140625" style="18" customWidth="1"/>
    <col min="5" max="5" width="12.28125" style="18" customWidth="1"/>
    <col min="6" max="6" width="12.8515625" style="18" customWidth="1"/>
    <col min="7" max="7" width="12.57421875" style="230" customWidth="1"/>
    <col min="8" max="8" width="10.8515625" style="1" customWidth="1"/>
    <col min="9" max="9" width="15.140625" style="1" customWidth="1"/>
    <col min="10" max="10" width="11.00390625" style="1" customWidth="1"/>
    <col min="11" max="11" width="13.7109375" style="1" customWidth="1"/>
    <col min="12" max="12" width="12.140625" style="6" customWidth="1"/>
    <col min="13" max="13" width="12.421875" style="1" customWidth="1"/>
    <col min="14" max="14" width="12.7109375" style="6" customWidth="1"/>
    <col min="15" max="15" width="11.421875" style="1" customWidth="1"/>
    <col min="16" max="16" width="11.57421875" style="6" customWidth="1"/>
    <col min="17" max="17" width="9.00390625" style="7" customWidth="1"/>
    <col min="18" max="18" width="7.7109375" style="7" customWidth="1"/>
    <col min="19" max="19" width="12.28125" style="7" hidden="1" customWidth="1"/>
    <col min="20" max="20" width="15.8515625" style="2" hidden="1" customWidth="1"/>
    <col min="21" max="21" width="13.8515625" style="2" hidden="1" customWidth="1"/>
    <col min="22" max="22" width="11.57421875" style="2" hidden="1" customWidth="1"/>
    <col min="23" max="23" width="12.57421875" style="2" hidden="1" customWidth="1"/>
    <col min="24" max="24" width="13.00390625" style="2" hidden="1" customWidth="1"/>
    <col min="25" max="25" width="8.8515625" style="2" hidden="1" customWidth="1"/>
    <col min="26" max="26" width="11.7109375" style="2" customWidth="1"/>
    <col min="27" max="27" width="12.140625" style="2" customWidth="1"/>
    <col min="28" max="28" width="20.140625" style="2" customWidth="1"/>
    <col min="29" max="29" width="13.00390625" style="2" customWidth="1"/>
    <col min="30" max="16384" width="8.8515625" style="2" customWidth="1"/>
  </cols>
  <sheetData>
    <row r="1" spans="2:8" ht="23.25" customHeight="1">
      <c r="B1" s="2"/>
      <c r="C1" s="2"/>
      <c r="D1" s="3"/>
      <c r="E1" s="3"/>
      <c r="F1" s="3"/>
      <c r="G1" s="4"/>
      <c r="H1" s="5"/>
    </row>
    <row r="2" spans="1:19" ht="15" customHeight="1">
      <c r="A2" s="2"/>
      <c r="B2" s="8"/>
      <c r="C2" s="9"/>
      <c r="D2" s="10"/>
      <c r="E2" s="10"/>
      <c r="F2" s="10"/>
      <c r="G2" s="11"/>
      <c r="H2" s="8"/>
      <c r="I2" s="12"/>
      <c r="J2" s="9"/>
      <c r="K2" s="2"/>
      <c r="L2" s="13"/>
      <c r="M2" s="234"/>
      <c r="N2" s="234"/>
      <c r="O2" s="234"/>
      <c r="P2" s="234"/>
      <c r="Q2" s="234"/>
      <c r="R2" s="14"/>
      <c r="S2" s="14"/>
    </row>
    <row r="3" spans="1:22" ht="22.5" customHeight="1" outlineLevel="1">
      <c r="A3" s="233" t="s">
        <v>0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15"/>
      <c r="S3" s="15"/>
      <c r="U3" s="2">
        <v>609600</v>
      </c>
      <c r="V3" s="2" t="s">
        <v>1</v>
      </c>
    </row>
    <row r="4" spans="1:22" ht="15.75" outlineLevel="1">
      <c r="A4" s="236" t="s">
        <v>2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16"/>
      <c r="S4" s="16"/>
      <c r="T4" s="2" t="s">
        <v>3</v>
      </c>
      <c r="U4" s="2">
        <v>579586</v>
      </c>
      <c r="V4" s="2" t="s">
        <v>4</v>
      </c>
    </row>
    <row r="5" spans="1:19" ht="15.75" outlineLevel="1">
      <c r="A5" s="237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17"/>
      <c r="S5" s="17"/>
    </row>
    <row r="6" ht="24" customHeight="1" outlineLevel="1">
      <c r="G6" s="18"/>
    </row>
    <row r="7" spans="1:20" ht="15.75" customHeight="1" outlineLevel="1">
      <c r="A7" s="19"/>
      <c r="B7" s="19"/>
      <c r="C7" s="19"/>
      <c r="D7" s="20"/>
      <c r="E7" s="20"/>
      <c r="F7" s="20"/>
      <c r="G7" s="20"/>
      <c r="I7" s="19"/>
      <c r="J7" s="19"/>
      <c r="K7" s="19"/>
      <c r="L7" s="19"/>
      <c r="M7" s="19"/>
      <c r="N7" s="19"/>
      <c r="O7" s="6" t="s">
        <v>5</v>
      </c>
      <c r="P7" s="21">
        <v>623300</v>
      </c>
      <c r="Q7" s="19"/>
      <c r="R7" s="19"/>
      <c r="S7" s="19"/>
      <c r="T7" s="2">
        <v>593600</v>
      </c>
    </row>
    <row r="8" spans="1:19" ht="15.75" outlineLevel="1">
      <c r="A8" s="3"/>
      <c r="B8" s="22"/>
      <c r="C8" s="23"/>
      <c r="D8" s="24"/>
      <c r="E8" s="24"/>
      <c r="F8" s="24"/>
      <c r="G8" s="24"/>
      <c r="H8" s="19"/>
      <c r="I8" s="2"/>
      <c r="J8" s="2"/>
      <c r="K8" s="2"/>
      <c r="L8" s="12"/>
      <c r="M8" s="23"/>
      <c r="N8" s="25"/>
      <c r="O8" s="23"/>
      <c r="P8" s="25"/>
      <c r="Q8" s="26" t="s">
        <v>6</v>
      </c>
      <c r="R8" s="26"/>
      <c r="S8" s="26"/>
    </row>
    <row r="9" spans="1:19" ht="15.75">
      <c r="A9" s="27"/>
      <c r="B9" s="28" t="s">
        <v>7</v>
      </c>
      <c r="C9" s="28" t="s">
        <v>7</v>
      </c>
      <c r="D9" s="29" t="s">
        <v>7</v>
      </c>
      <c r="E9" s="29" t="s">
        <v>7</v>
      </c>
      <c r="F9" s="29" t="s">
        <v>8</v>
      </c>
      <c r="G9" s="29" t="s">
        <v>9</v>
      </c>
      <c r="H9" s="28" t="s">
        <v>7</v>
      </c>
      <c r="I9" s="28" t="s">
        <v>10</v>
      </c>
      <c r="J9" s="28" t="s">
        <v>11</v>
      </c>
      <c r="K9" s="28" t="s">
        <v>11</v>
      </c>
      <c r="L9" s="30" t="s">
        <v>12</v>
      </c>
      <c r="M9" s="28" t="s">
        <v>13</v>
      </c>
      <c r="N9" s="31" t="s">
        <v>12</v>
      </c>
      <c r="O9" s="28" t="s">
        <v>14</v>
      </c>
      <c r="P9" s="75" t="s">
        <v>15</v>
      </c>
      <c r="Q9" s="75"/>
      <c r="R9" s="32"/>
      <c r="S9" s="32"/>
    </row>
    <row r="10" spans="1:25" ht="15.75">
      <c r="A10" s="33"/>
      <c r="B10" s="34" t="s">
        <v>16</v>
      </c>
      <c r="C10" s="34" t="s">
        <v>17</v>
      </c>
      <c r="D10" s="35" t="s">
        <v>18</v>
      </c>
      <c r="E10" s="35" t="s">
        <v>19</v>
      </c>
      <c r="F10" s="35" t="s">
        <v>20</v>
      </c>
      <c r="G10" s="35" t="s">
        <v>21</v>
      </c>
      <c r="H10" s="34" t="s">
        <v>22</v>
      </c>
      <c r="I10" s="34" t="s">
        <v>21</v>
      </c>
      <c r="J10" s="34" t="s">
        <v>23</v>
      </c>
      <c r="K10" s="34" t="s">
        <v>24</v>
      </c>
      <c r="L10" s="36"/>
      <c r="M10" s="34" t="s">
        <v>25</v>
      </c>
      <c r="N10" s="37" t="s">
        <v>26</v>
      </c>
      <c r="O10" s="38" t="s">
        <v>27</v>
      </c>
      <c r="P10" s="235"/>
      <c r="Q10" s="235"/>
      <c r="R10" s="32"/>
      <c r="S10" s="32"/>
      <c r="Y10" s="39"/>
    </row>
    <row r="11" spans="1:25" ht="15.75" customHeight="1">
      <c r="A11" s="40"/>
      <c r="B11" s="34" t="s">
        <v>28</v>
      </c>
      <c r="C11" s="34" t="s">
        <v>29</v>
      </c>
      <c r="D11" s="35" t="s">
        <v>30</v>
      </c>
      <c r="E11" s="35" t="s">
        <v>31</v>
      </c>
      <c r="F11" s="35" t="s">
        <v>32</v>
      </c>
      <c r="G11" s="35" t="s">
        <v>33</v>
      </c>
      <c r="H11" s="34" t="s">
        <v>34</v>
      </c>
      <c r="I11" s="34" t="s">
        <v>35</v>
      </c>
      <c r="J11" s="34" t="s">
        <v>36</v>
      </c>
      <c r="K11" s="34" t="s">
        <v>37</v>
      </c>
      <c r="L11" s="36"/>
      <c r="M11" s="34" t="s">
        <v>38</v>
      </c>
      <c r="N11" s="37" t="s">
        <v>39</v>
      </c>
      <c r="O11" s="38" t="s">
        <v>40</v>
      </c>
      <c r="P11" s="235"/>
      <c r="Q11" s="235"/>
      <c r="R11" s="32"/>
      <c r="S11" s="32"/>
      <c r="Y11" s="39"/>
    </row>
    <row r="12" spans="1:19" ht="15.75">
      <c r="A12" s="43"/>
      <c r="B12" s="44"/>
      <c r="C12" s="34" t="s">
        <v>41</v>
      </c>
      <c r="D12" s="35"/>
      <c r="E12" s="35" t="s">
        <v>42</v>
      </c>
      <c r="F12" s="35" t="s">
        <v>43</v>
      </c>
      <c r="G12" s="35"/>
      <c r="H12" s="34" t="s">
        <v>44</v>
      </c>
      <c r="I12" s="34" t="s">
        <v>45</v>
      </c>
      <c r="J12" s="34"/>
      <c r="K12" s="34" t="s">
        <v>46</v>
      </c>
      <c r="L12" s="36"/>
      <c r="M12" s="34" t="s">
        <v>47</v>
      </c>
      <c r="N12" s="36" t="s">
        <v>48</v>
      </c>
      <c r="O12" s="38" t="s">
        <v>49</v>
      </c>
      <c r="P12" s="235"/>
      <c r="Q12" s="235"/>
      <c r="R12" s="32"/>
      <c r="S12" s="32"/>
    </row>
    <row r="13" spans="1:21" ht="15.75">
      <c r="A13" s="45"/>
      <c r="B13" s="2"/>
      <c r="C13" s="34" t="s">
        <v>50</v>
      </c>
      <c r="D13" s="35"/>
      <c r="E13" s="35"/>
      <c r="F13" s="35" t="s">
        <v>51</v>
      </c>
      <c r="G13" s="35"/>
      <c r="H13" s="34" t="s">
        <v>52</v>
      </c>
      <c r="I13" s="34"/>
      <c r="J13" s="34"/>
      <c r="K13" s="34" t="s">
        <v>53</v>
      </c>
      <c r="L13" s="36"/>
      <c r="M13" s="34"/>
      <c r="N13" s="36"/>
      <c r="O13" s="38"/>
      <c r="P13" s="74" t="s">
        <v>54</v>
      </c>
      <c r="Q13" s="73" t="s">
        <v>55</v>
      </c>
      <c r="R13" s="41"/>
      <c r="S13" s="41"/>
      <c r="U13" s="46"/>
    </row>
    <row r="14" spans="1:19" ht="30">
      <c r="A14" s="47"/>
      <c r="B14" s="48"/>
      <c r="C14" s="2"/>
      <c r="D14" s="49"/>
      <c r="E14" s="49"/>
      <c r="F14" s="49" t="s">
        <v>56</v>
      </c>
      <c r="G14" s="49"/>
      <c r="H14" s="50" t="s">
        <v>57</v>
      </c>
      <c r="I14" s="50"/>
      <c r="J14" s="50"/>
      <c r="K14" s="50" t="s">
        <v>58</v>
      </c>
      <c r="L14" s="14"/>
      <c r="M14" s="50"/>
      <c r="N14" s="14"/>
      <c r="O14" s="51"/>
      <c r="P14" s="74"/>
      <c r="Q14" s="73"/>
      <c r="R14" s="41"/>
      <c r="S14" s="41"/>
    </row>
    <row r="15" spans="1:19" ht="18" customHeight="1">
      <c r="A15" s="47"/>
      <c r="B15" s="48"/>
      <c r="C15" s="2"/>
      <c r="D15" s="49"/>
      <c r="E15" s="49"/>
      <c r="F15" s="49"/>
      <c r="G15" s="49"/>
      <c r="H15" s="50" t="s">
        <v>59</v>
      </c>
      <c r="I15" s="50"/>
      <c r="J15" s="50"/>
      <c r="K15" s="50"/>
      <c r="L15" s="14"/>
      <c r="M15" s="50"/>
      <c r="N15" s="14"/>
      <c r="O15" s="51"/>
      <c r="P15" s="42"/>
      <c r="Q15" s="41"/>
      <c r="R15" s="41"/>
      <c r="S15" s="41"/>
    </row>
    <row r="16" spans="1:19" ht="15.75" customHeight="1">
      <c r="A16" s="52"/>
      <c r="B16" s="53"/>
      <c r="C16" s="2"/>
      <c r="D16" s="49"/>
      <c r="E16" s="49"/>
      <c r="F16" s="49"/>
      <c r="G16" s="49"/>
      <c r="H16" s="2" t="s">
        <v>60</v>
      </c>
      <c r="I16" s="54"/>
      <c r="J16" s="50"/>
      <c r="K16" s="50"/>
      <c r="L16" s="14"/>
      <c r="M16" s="50"/>
      <c r="N16" s="14"/>
      <c r="O16" s="51"/>
      <c r="P16" s="14"/>
      <c r="Q16" s="41"/>
      <c r="R16" s="41"/>
      <c r="S16" s="41"/>
    </row>
    <row r="17" spans="1:19" ht="0.75" customHeight="1">
      <c r="A17" s="55"/>
      <c r="B17" s="56"/>
      <c r="C17" s="57"/>
      <c r="D17" s="58"/>
      <c r="E17" s="58"/>
      <c r="F17" s="58"/>
      <c r="G17" s="58"/>
      <c r="H17" s="59"/>
      <c r="I17" s="57"/>
      <c r="J17" s="57"/>
      <c r="K17" s="57"/>
      <c r="L17" s="59"/>
      <c r="M17" s="57"/>
      <c r="N17" s="59"/>
      <c r="O17" s="57"/>
      <c r="P17" s="60"/>
      <c r="Q17" s="59"/>
      <c r="R17" s="61"/>
      <c r="S17" s="61"/>
    </row>
    <row r="18" spans="1:19" ht="13.5" customHeight="1">
      <c r="A18" s="62"/>
      <c r="B18" s="56"/>
      <c r="C18" s="57"/>
      <c r="D18" s="58"/>
      <c r="E18" s="58"/>
      <c r="F18" s="58"/>
      <c r="G18" s="58"/>
      <c r="H18" s="57"/>
      <c r="I18" s="57"/>
      <c r="J18" s="57"/>
      <c r="K18" s="57"/>
      <c r="L18" s="59"/>
      <c r="M18" s="57"/>
      <c r="N18" s="59"/>
      <c r="O18" s="57"/>
      <c r="P18" s="60"/>
      <c r="Q18" s="59"/>
      <c r="R18" s="61"/>
      <c r="S18" s="61"/>
    </row>
    <row r="19" spans="1:19" ht="24" customHeight="1">
      <c r="A19" s="63"/>
      <c r="B19" s="64"/>
      <c r="C19" s="65"/>
      <c r="D19" s="66"/>
      <c r="E19" s="66"/>
      <c r="F19" s="66"/>
      <c r="G19" s="66"/>
      <c r="H19" s="67"/>
      <c r="I19" s="65"/>
      <c r="J19" s="65"/>
      <c r="K19" s="65"/>
      <c r="L19" s="67"/>
      <c r="M19" s="65"/>
      <c r="N19" s="67"/>
      <c r="O19" s="65"/>
      <c r="P19" s="68"/>
      <c r="Q19" s="67"/>
      <c r="R19" s="61"/>
      <c r="S19" s="61"/>
    </row>
    <row r="20" spans="1:19" s="78" customFormat="1" ht="24" customHeight="1" hidden="1">
      <c r="A20" s="69"/>
      <c r="B20" s="70">
        <f>2068.735-B48</f>
        <v>2002.2947250000002</v>
      </c>
      <c r="C20" s="70"/>
      <c r="D20" s="71"/>
      <c r="E20" s="71"/>
      <c r="F20" s="71">
        <f>F21+F26</f>
        <v>0</v>
      </c>
      <c r="G20" s="71"/>
      <c r="H20" s="70"/>
      <c r="I20" s="70"/>
      <c r="J20" s="72"/>
      <c r="K20" s="72"/>
      <c r="L20" s="70"/>
      <c r="M20" s="70"/>
      <c r="N20" s="76"/>
      <c r="O20" s="70"/>
      <c r="P20" s="77"/>
      <c r="Q20" s="76"/>
      <c r="R20" s="76"/>
      <c r="S20" s="76"/>
    </row>
    <row r="21" spans="1:19" ht="21.75" customHeight="1" hidden="1">
      <c r="A21" s="79" t="s">
        <v>61</v>
      </c>
      <c r="B21" s="80">
        <f>B22-B28</f>
        <v>0</v>
      </c>
      <c r="C21" s="81"/>
      <c r="D21" s="81">
        <f>D22-D28</f>
        <v>0.0003040000019609579</v>
      </c>
      <c r="E21" s="81">
        <f>E22-E28</f>
        <v>0</v>
      </c>
      <c r="F21" s="80">
        <f>F22-F28</f>
        <v>0</v>
      </c>
      <c r="G21" s="81">
        <f>G22-G28</f>
        <v>0</v>
      </c>
      <c r="H21" s="81"/>
      <c r="I21" s="81"/>
      <c r="J21" s="81">
        <f>J22-J28</f>
        <v>-0.0008849999999824831</v>
      </c>
      <c r="K21" s="81"/>
      <c r="L21" s="61"/>
      <c r="M21" s="81"/>
      <c r="N21" s="61"/>
      <c r="O21" s="81"/>
      <c r="P21" s="82"/>
      <c r="Q21" s="61"/>
      <c r="R21" s="61"/>
      <c r="S21" s="61"/>
    </row>
    <row r="22" spans="1:19" ht="23.25" customHeight="1" hidden="1">
      <c r="A22" s="83"/>
      <c r="B22" s="84">
        <f>B23+B24+B26</f>
        <v>7057.751139</v>
      </c>
      <c r="C22" s="81"/>
      <c r="D22" s="85">
        <f>D23+D24+D26</f>
        <v>4352.928737000001</v>
      </c>
      <c r="E22" s="85">
        <f>E23+E24+E26</f>
        <v>130.215154</v>
      </c>
      <c r="F22" s="85">
        <f>F23+F24+F26</f>
        <v>1470.9104980000002</v>
      </c>
      <c r="G22" s="86"/>
      <c r="H22" s="87">
        <f>H23+H26</f>
        <v>1466.608604</v>
      </c>
      <c r="I22" s="81"/>
      <c r="J22" s="88">
        <f>J23+J24+J26</f>
        <v>295.827</v>
      </c>
      <c r="K22" s="81">
        <f>K28-K23</f>
        <v>-5982.7119999999995</v>
      </c>
      <c r="L22" s="61"/>
      <c r="M22" s="81"/>
      <c r="N22" s="61"/>
      <c r="O22" s="81"/>
      <c r="P22" s="82"/>
      <c r="Q22" s="61"/>
      <c r="R22" s="61"/>
      <c r="S22" s="61"/>
    </row>
    <row r="23" spans="1:19" ht="23.25" customHeight="1" hidden="1">
      <c r="A23" s="83"/>
      <c r="B23" s="89">
        <v>7255.459139</v>
      </c>
      <c r="C23" s="81">
        <f>'[1]UAT  2013  ian'!J27</f>
        <v>3912.648155</v>
      </c>
      <c r="D23" s="90">
        <v>4349.924737</v>
      </c>
      <c r="E23" s="90">
        <v>127.079154</v>
      </c>
      <c r="F23" s="90">
        <v>1416.020498</v>
      </c>
      <c r="G23" s="86">
        <v>0</v>
      </c>
      <c r="H23" s="91">
        <v>1456.156604</v>
      </c>
      <c r="I23" s="81"/>
      <c r="J23" s="81">
        <v>295.827</v>
      </c>
      <c r="K23" s="81">
        <v>6071.217</v>
      </c>
      <c r="L23" s="61"/>
      <c r="M23" s="81"/>
      <c r="N23" s="61"/>
      <c r="O23" s="81"/>
      <c r="P23" s="82"/>
      <c r="Q23" s="61"/>
      <c r="R23" s="61"/>
      <c r="S23" s="61"/>
    </row>
    <row r="24" spans="1:19" ht="23.25" customHeight="1" hidden="1">
      <c r="A24" s="79" t="s">
        <v>62</v>
      </c>
      <c r="B24" s="92"/>
      <c r="C24" s="81"/>
      <c r="D24" s="86">
        <v>1.52</v>
      </c>
      <c r="E24" s="86">
        <v>1.02</v>
      </c>
      <c r="F24" s="86">
        <v>54.89</v>
      </c>
      <c r="G24" s="86"/>
      <c r="H24" s="93"/>
      <c r="I24" s="81"/>
      <c r="J24" s="81"/>
      <c r="K24" s="81"/>
      <c r="L24" s="61"/>
      <c r="M24" s="81"/>
      <c r="N24" s="61"/>
      <c r="O24" s="81"/>
      <c r="P24" s="82"/>
      <c r="Q24" s="61"/>
      <c r="R24" s="61"/>
      <c r="S24" s="61"/>
    </row>
    <row r="25" spans="1:19" ht="23.25" customHeight="1" hidden="1">
      <c r="A25" s="79" t="s">
        <v>63</v>
      </c>
      <c r="B25" s="81">
        <v>264.148275</v>
      </c>
      <c r="C25" s="81">
        <f>207.287509+1.974645</f>
        <v>209.262154</v>
      </c>
      <c r="D25" s="94">
        <v>0.003071</v>
      </c>
      <c r="E25" s="94">
        <f>0.281671</f>
        <v>0.281671</v>
      </c>
      <c r="F25" s="86"/>
      <c r="G25" s="86"/>
      <c r="H25" s="81"/>
      <c r="I25" s="81"/>
      <c r="J25" s="81"/>
      <c r="K25" s="81"/>
      <c r="L25" s="61"/>
      <c r="M25" s="81"/>
      <c r="N25" s="61"/>
      <c r="O25" s="81"/>
      <c r="P25" s="82"/>
      <c r="Q25" s="61"/>
      <c r="R25" s="61"/>
      <c r="S25" s="61"/>
    </row>
    <row r="26" spans="1:19" ht="23.25" customHeight="1" hidden="1">
      <c r="A26" s="79" t="s">
        <v>64</v>
      </c>
      <c r="B26" s="81">
        <v>-197.708</v>
      </c>
      <c r="C26" s="81">
        <f>-109.531544+15.467723-1.062325</f>
        <v>-95.12614599999999</v>
      </c>
      <c r="D26" s="86">
        <v>1.484</v>
      </c>
      <c r="E26" s="86">
        <v>2.116</v>
      </c>
      <c r="F26" s="86">
        <v>0</v>
      </c>
      <c r="G26" s="95"/>
      <c r="H26" s="81">
        <f>0.665+9.747+0.04</f>
        <v>10.451999999999998</v>
      </c>
      <c r="I26" s="96"/>
      <c r="J26" s="81"/>
      <c r="K26" s="81"/>
      <c r="L26" s="61"/>
      <c r="M26" s="81"/>
      <c r="N26" s="61"/>
      <c r="O26" s="81"/>
      <c r="P26" s="82"/>
      <c r="Q26" s="61"/>
      <c r="R26" s="61"/>
      <c r="S26" s="61"/>
    </row>
    <row r="27" spans="1:19" s="105" customFormat="1" ht="23.25" customHeight="1" hidden="1">
      <c r="A27" s="97"/>
      <c r="B27" s="98">
        <f>B28-B23</f>
        <v>-197.70800000000054</v>
      </c>
      <c r="C27" s="98"/>
      <c r="D27" s="99"/>
      <c r="E27" s="99"/>
      <c r="F27" s="99"/>
      <c r="G27" s="99"/>
      <c r="H27" s="98"/>
      <c r="I27" s="100"/>
      <c r="J27" s="98"/>
      <c r="K27" s="98"/>
      <c r="L27" s="101">
        <f aca="true" t="shared" si="0" ref="L27:L53">SUM(B27:K27)</f>
        <v>-197.70800000000054</v>
      </c>
      <c r="M27" s="98"/>
      <c r="N27" s="101">
        <f aca="true" t="shared" si="1" ref="N27:N53">L27+M27</f>
        <v>-197.70800000000054</v>
      </c>
      <c r="O27" s="102">
        <f>O29</f>
        <v>0</v>
      </c>
      <c r="P27" s="103">
        <f aca="true" t="shared" si="2" ref="P27:P53">N27+O27</f>
        <v>-197.70800000000054</v>
      </c>
      <c r="Q27" s="104"/>
      <c r="R27" s="104"/>
      <c r="S27" s="104"/>
    </row>
    <row r="28" spans="1:19" s="120" customFormat="1" ht="15.75">
      <c r="A28" s="106" t="s">
        <v>65</v>
      </c>
      <c r="B28" s="107">
        <f>B29+B45+B46+B47+B48+B51+B53</f>
        <v>7057.751138999999</v>
      </c>
      <c r="C28" s="108">
        <f>C29+C45+C46+C47+C48+C51+C53</f>
        <v>3912.648155</v>
      </c>
      <c r="D28" s="109">
        <f aca="true" t="shared" si="3" ref="D28:K28">D29+D45+D46+D51+D53+D47+D48</f>
        <v>4352.928432999999</v>
      </c>
      <c r="E28" s="109">
        <f t="shared" si="3"/>
        <v>130.21515399999998</v>
      </c>
      <c r="F28" s="110">
        <f t="shared" si="3"/>
        <v>1470.910498</v>
      </c>
      <c r="G28" s="110">
        <f t="shared" si="3"/>
        <v>0</v>
      </c>
      <c r="H28" s="111">
        <f t="shared" si="3"/>
        <v>1466.608604</v>
      </c>
      <c r="I28" s="112">
        <f t="shared" si="3"/>
        <v>4.7722940000000005</v>
      </c>
      <c r="J28" s="112">
        <f t="shared" si="3"/>
        <v>295.827885</v>
      </c>
      <c r="K28" s="113">
        <f t="shared" si="3"/>
        <v>88.505</v>
      </c>
      <c r="L28" s="114">
        <f t="shared" si="0"/>
        <v>18780.167161999998</v>
      </c>
      <c r="M28" s="115">
        <f>M29+M45+M46+M51+M47</f>
        <v>-2799.251202</v>
      </c>
      <c r="N28" s="116">
        <f t="shared" si="1"/>
        <v>15980.915959999998</v>
      </c>
      <c r="O28" s="115">
        <f>O29+O45+O46+O51</f>
        <v>-0.001803</v>
      </c>
      <c r="P28" s="117">
        <f t="shared" si="2"/>
        <v>15980.914157</v>
      </c>
      <c r="Q28" s="118">
        <f aca="true" t="shared" si="4" ref="Q28:Q53">P28/$P$7*100</f>
        <v>2.5639201278678003</v>
      </c>
      <c r="R28" s="119"/>
      <c r="S28" s="119">
        <f>P32+P33+P34+P37+P38+P39+P40+P41+P42+P43+P44+P46+P47+P48+P53</f>
        <v>15719.564100000001</v>
      </c>
    </row>
    <row r="29" spans="1:19" s="78" customFormat="1" ht="18.75" customHeight="1">
      <c r="A29" s="121" t="s">
        <v>66</v>
      </c>
      <c r="B29" s="122">
        <f>B30+B43+B44</f>
        <v>7202.045639999999</v>
      </c>
      <c r="C29" s="122">
        <f>C30+C43+C44</f>
        <v>3491.738309</v>
      </c>
      <c r="D29" s="123">
        <f>D30+D43+D44</f>
        <v>3251.441362</v>
      </c>
      <c r="E29" s="123">
        <f>E30+E43+E44</f>
        <v>127.81748299999998</v>
      </c>
      <c r="F29" s="123">
        <f>F30+F43+F44</f>
        <v>1359.766052</v>
      </c>
      <c r="G29" s="123"/>
      <c r="H29" s="122">
        <f>H30+H43+H44</f>
        <v>898.046076</v>
      </c>
      <c r="I29" s="122"/>
      <c r="J29" s="72">
        <f>J30+J43+J44</f>
        <v>295.827885</v>
      </c>
      <c r="K29" s="72">
        <f>K30+K43+K44</f>
        <v>88.505</v>
      </c>
      <c r="L29" s="122">
        <f t="shared" si="0"/>
        <v>16715.187807000002</v>
      </c>
      <c r="M29" s="122">
        <f>M30+M43+M44</f>
        <v>-776.52097</v>
      </c>
      <c r="N29" s="59">
        <f t="shared" si="1"/>
        <v>15938.666837000002</v>
      </c>
      <c r="O29" s="122">
        <f>O30+O43+O44</f>
        <v>0</v>
      </c>
      <c r="P29" s="60">
        <f t="shared" si="2"/>
        <v>15938.666837000002</v>
      </c>
      <c r="Q29" s="59">
        <f t="shared" si="4"/>
        <v>2.557142120487727</v>
      </c>
      <c r="R29" s="76"/>
      <c r="S29" s="76"/>
    </row>
    <row r="30" spans="1:19" ht="28.5" customHeight="1">
      <c r="A30" s="124" t="s">
        <v>67</v>
      </c>
      <c r="B30" s="61">
        <f aca="true" t="shared" si="5" ref="B30:K30">B31+B35+B36+B41+B42</f>
        <v>6578.330892999999</v>
      </c>
      <c r="C30" s="61">
        <f t="shared" si="5"/>
        <v>2686.584004</v>
      </c>
      <c r="D30" s="125">
        <f t="shared" si="5"/>
        <v>0</v>
      </c>
      <c r="E30" s="125">
        <f t="shared" si="5"/>
        <v>0.003214</v>
      </c>
      <c r="F30" s="125">
        <f t="shared" si="5"/>
        <v>2.666475</v>
      </c>
      <c r="G30" s="125">
        <f t="shared" si="5"/>
        <v>0</v>
      </c>
      <c r="H30" s="61">
        <f t="shared" si="5"/>
        <v>249.73316699999998</v>
      </c>
      <c r="I30" s="126">
        <f t="shared" si="5"/>
        <v>0</v>
      </c>
      <c r="J30" s="126">
        <f t="shared" si="5"/>
        <v>0</v>
      </c>
      <c r="K30" s="126">
        <f t="shared" si="5"/>
        <v>0</v>
      </c>
      <c r="L30" s="61">
        <f t="shared" si="0"/>
        <v>9517.317753</v>
      </c>
      <c r="M30" s="126">
        <f>M31+M35+M36+M41+M42</f>
        <v>0</v>
      </c>
      <c r="N30" s="61">
        <f t="shared" si="1"/>
        <v>9517.317753</v>
      </c>
      <c r="O30" s="126">
        <f>O31+O35+O36+O41+O42</f>
        <v>0</v>
      </c>
      <c r="P30" s="59">
        <f t="shared" si="2"/>
        <v>9517.317753</v>
      </c>
      <c r="Q30" s="61">
        <f t="shared" si="4"/>
        <v>1.5269240739611742</v>
      </c>
      <c r="R30" s="61"/>
      <c r="S30" s="61"/>
    </row>
    <row r="31" spans="1:19" ht="31.5" customHeight="1">
      <c r="A31" s="127" t="s">
        <v>68</v>
      </c>
      <c r="B31" s="61">
        <f aca="true" t="shared" si="6" ref="B31:G31">B32+B33+B34</f>
        <v>1419.0716650000002</v>
      </c>
      <c r="C31" s="61">
        <f t="shared" si="6"/>
        <v>1194.830759</v>
      </c>
      <c r="D31" s="125">
        <f t="shared" si="6"/>
        <v>0</v>
      </c>
      <c r="E31" s="125">
        <f t="shared" si="6"/>
        <v>0</v>
      </c>
      <c r="F31" s="125">
        <f t="shared" si="6"/>
        <v>0</v>
      </c>
      <c r="G31" s="125">
        <f t="shared" si="6"/>
        <v>0</v>
      </c>
      <c r="H31" s="126"/>
      <c r="I31" s="126">
        <f>I32+I33+I34</f>
        <v>0</v>
      </c>
      <c r="J31" s="128">
        <f>J32+J33+J34</f>
        <v>0</v>
      </c>
      <c r="K31" s="126">
        <f>K32+K33+K34</f>
        <v>0</v>
      </c>
      <c r="L31" s="61">
        <f t="shared" si="0"/>
        <v>2613.902424</v>
      </c>
      <c r="M31" s="126">
        <f>M32+M33+M34</f>
        <v>0</v>
      </c>
      <c r="N31" s="61">
        <f t="shared" si="1"/>
        <v>2613.902424</v>
      </c>
      <c r="O31" s="126">
        <f>O32+O33+O34</f>
        <v>0</v>
      </c>
      <c r="P31" s="59">
        <f t="shared" si="2"/>
        <v>2613.902424</v>
      </c>
      <c r="Q31" s="61">
        <f t="shared" si="4"/>
        <v>0.4193650608053907</v>
      </c>
      <c r="R31" s="61"/>
      <c r="S31" s="61"/>
    </row>
    <row r="32" spans="1:19" ht="22.5" customHeight="1">
      <c r="A32" s="129" t="s">
        <v>69</v>
      </c>
      <c r="B32" s="130">
        <v>193.643472</v>
      </c>
      <c r="C32" s="128">
        <f>'[1]UAT  2013  ian'!J36</f>
        <v>1.006208</v>
      </c>
      <c r="D32" s="131"/>
      <c r="E32" s="131"/>
      <c r="F32" s="131"/>
      <c r="G32" s="131"/>
      <c r="H32" s="132"/>
      <c r="I32" s="128"/>
      <c r="J32" s="128"/>
      <c r="K32" s="128"/>
      <c r="L32" s="132">
        <f t="shared" si="0"/>
        <v>194.64968</v>
      </c>
      <c r="M32" s="128"/>
      <c r="N32" s="132">
        <f t="shared" si="1"/>
        <v>194.64968</v>
      </c>
      <c r="O32" s="128"/>
      <c r="P32" s="72">
        <f t="shared" si="2"/>
        <v>194.64968</v>
      </c>
      <c r="Q32" s="132">
        <f t="shared" si="4"/>
        <v>0.03122889138456602</v>
      </c>
      <c r="R32" s="132"/>
      <c r="S32" s="132"/>
    </row>
    <row r="33" spans="1:19" ht="26.25" customHeight="1">
      <c r="A33" s="129" t="s">
        <v>70</v>
      </c>
      <c r="B33" s="128">
        <f>2262.181027-'[1]UAT  2013  ian'!J43+0.153921</f>
        <v>1085.891356</v>
      </c>
      <c r="C33" s="128">
        <f>'[1]UAT  2013  ian'!J41+'[1]UAT  2013  ian'!J43</f>
        <v>1193.081596</v>
      </c>
      <c r="D33" s="94"/>
      <c r="E33" s="94"/>
      <c r="F33" s="94"/>
      <c r="G33" s="94"/>
      <c r="H33" s="132"/>
      <c r="I33" s="128"/>
      <c r="J33" s="128"/>
      <c r="K33" s="128"/>
      <c r="L33" s="132">
        <f t="shared" si="0"/>
        <v>2278.972952</v>
      </c>
      <c r="M33" s="128"/>
      <c r="N33" s="132">
        <f t="shared" si="1"/>
        <v>2278.972952</v>
      </c>
      <c r="O33" s="128"/>
      <c r="P33" s="72">
        <f t="shared" si="2"/>
        <v>2278.972952</v>
      </c>
      <c r="Q33" s="132">
        <f t="shared" si="4"/>
        <v>0.36563018642708167</v>
      </c>
      <c r="R33" s="132"/>
      <c r="S33" s="132" t="e">
        <f>#REF!</f>
        <v>#REF!</v>
      </c>
    </row>
    <row r="34" spans="1:19" ht="30.75" customHeight="1">
      <c r="A34" s="133" t="s">
        <v>71</v>
      </c>
      <c r="B34" s="134">
        <f>139.535828+0.001009</f>
        <v>139.53683700000002</v>
      </c>
      <c r="C34" s="128">
        <f>'[1]UAT  2013  ian'!J46</f>
        <v>0.742955</v>
      </c>
      <c r="D34" s="94"/>
      <c r="E34" s="94"/>
      <c r="F34" s="94"/>
      <c r="G34" s="94"/>
      <c r="H34" s="132"/>
      <c r="I34" s="128"/>
      <c r="J34" s="128"/>
      <c r="K34" s="128"/>
      <c r="L34" s="132">
        <f t="shared" si="0"/>
        <v>140.27979200000001</v>
      </c>
      <c r="M34" s="128"/>
      <c r="N34" s="132">
        <f t="shared" si="1"/>
        <v>140.27979200000001</v>
      </c>
      <c r="O34" s="128"/>
      <c r="P34" s="72">
        <f t="shared" si="2"/>
        <v>140.27979200000001</v>
      </c>
      <c r="Q34" s="132">
        <f t="shared" si="4"/>
        <v>0.022505982993742984</v>
      </c>
      <c r="R34" s="132"/>
      <c r="S34" s="132"/>
    </row>
    <row r="35" spans="1:19" ht="28.5" customHeight="1">
      <c r="A35" s="127" t="s">
        <v>72</v>
      </c>
      <c r="B35" s="128">
        <v>0.106063</v>
      </c>
      <c r="C35" s="128">
        <f>'[1]UAT  2013  ian'!J48</f>
        <v>261.243994</v>
      </c>
      <c r="D35" s="131"/>
      <c r="E35" s="131"/>
      <c r="F35" s="131"/>
      <c r="G35" s="131"/>
      <c r="H35" s="132"/>
      <c r="I35" s="128"/>
      <c r="J35" s="81"/>
      <c r="K35" s="128"/>
      <c r="L35" s="132">
        <f t="shared" si="0"/>
        <v>261.350057</v>
      </c>
      <c r="M35" s="128"/>
      <c r="N35" s="132">
        <f t="shared" si="1"/>
        <v>261.350057</v>
      </c>
      <c r="O35" s="128"/>
      <c r="P35" s="72">
        <f t="shared" si="2"/>
        <v>261.350057</v>
      </c>
      <c r="Q35" s="132">
        <f t="shared" si="4"/>
        <v>0.04193005888015402</v>
      </c>
      <c r="R35" s="132"/>
      <c r="S35" s="132"/>
    </row>
    <row r="36" spans="1:23" ht="36.75" customHeight="1">
      <c r="A36" s="135" t="s">
        <v>73</v>
      </c>
      <c r="B36" s="136">
        <f>SUM(B37:B40)</f>
        <v>5107.433098</v>
      </c>
      <c r="C36" s="136">
        <f aca="true" t="shared" si="7" ref="C36:K36">C37+C38+C39+C40</f>
        <v>1217.858953</v>
      </c>
      <c r="D36" s="86">
        <f t="shared" si="7"/>
        <v>0</v>
      </c>
      <c r="E36" s="86">
        <f t="shared" si="7"/>
        <v>0.003214</v>
      </c>
      <c r="F36" s="86">
        <f t="shared" si="7"/>
        <v>2.666475</v>
      </c>
      <c r="G36" s="86">
        <f t="shared" si="7"/>
        <v>0</v>
      </c>
      <c r="H36" s="136">
        <f t="shared" si="7"/>
        <v>217.810993</v>
      </c>
      <c r="I36" s="81">
        <f t="shared" si="7"/>
        <v>0</v>
      </c>
      <c r="J36" s="128">
        <f t="shared" si="7"/>
        <v>0</v>
      </c>
      <c r="K36" s="81">
        <f t="shared" si="7"/>
        <v>0</v>
      </c>
      <c r="L36" s="61">
        <f t="shared" si="0"/>
        <v>6545.772733000001</v>
      </c>
      <c r="M36" s="81">
        <f>M37+M38+M39</f>
        <v>0</v>
      </c>
      <c r="N36" s="61">
        <f t="shared" si="1"/>
        <v>6545.772733000001</v>
      </c>
      <c r="O36" s="81">
        <f>O37+O38+O39</f>
        <v>0</v>
      </c>
      <c r="P36" s="59">
        <f t="shared" si="2"/>
        <v>6545.772733000001</v>
      </c>
      <c r="Q36" s="61">
        <f t="shared" si="4"/>
        <v>1.050180127226055</v>
      </c>
      <c r="R36" s="61"/>
      <c r="S36" s="61">
        <f>P37+P38+P39+P40</f>
        <v>6545.772733</v>
      </c>
      <c r="W36" s="2">
        <f>49023.2-10719.14</f>
        <v>38304.06</v>
      </c>
    </row>
    <row r="37" spans="1:19" ht="18.75" customHeight="1">
      <c r="A37" s="129" t="s">
        <v>74</v>
      </c>
      <c r="B37" s="128">
        <f>4269.309559-'[1]UAT  2013  ian'!B53</f>
        <v>3156.6026220000003</v>
      </c>
      <c r="C37" s="128">
        <f>'[1]UAT  2013  ian'!J53</f>
        <v>1112.706937</v>
      </c>
      <c r="D37" s="131"/>
      <c r="E37" s="131"/>
      <c r="F37" s="131"/>
      <c r="G37" s="131"/>
      <c r="H37" s="132"/>
      <c r="I37" s="128"/>
      <c r="J37" s="128"/>
      <c r="K37" s="128"/>
      <c r="L37" s="132">
        <f t="shared" si="0"/>
        <v>4269.309559</v>
      </c>
      <c r="M37" s="128"/>
      <c r="N37" s="132">
        <f t="shared" si="1"/>
        <v>4269.309559</v>
      </c>
      <c r="O37" s="128"/>
      <c r="P37" s="72">
        <f t="shared" si="2"/>
        <v>4269.309559</v>
      </c>
      <c r="Q37" s="132">
        <f t="shared" si="4"/>
        <v>0.6849526005133966</v>
      </c>
      <c r="R37" s="132"/>
      <c r="S37" s="132" t="e">
        <f>#REF!</f>
        <v>#REF!</v>
      </c>
    </row>
    <row r="38" spans="1:19" ht="20.25" customHeight="1">
      <c r="A38" s="129" t="s">
        <v>75</v>
      </c>
      <c r="B38" s="128">
        <v>1903.298821</v>
      </c>
      <c r="C38" s="128"/>
      <c r="D38" s="94"/>
      <c r="E38" s="94"/>
      <c r="F38" s="94"/>
      <c r="G38" s="94"/>
      <c r="H38" s="137">
        <v>201.384065</v>
      </c>
      <c r="I38" s="128"/>
      <c r="J38" s="138"/>
      <c r="K38" s="128"/>
      <c r="L38" s="132">
        <f t="shared" si="0"/>
        <v>2104.682886</v>
      </c>
      <c r="M38" s="128"/>
      <c r="N38" s="132">
        <f t="shared" si="1"/>
        <v>2104.682886</v>
      </c>
      <c r="O38" s="128"/>
      <c r="P38" s="72">
        <f t="shared" si="2"/>
        <v>2104.682886</v>
      </c>
      <c r="Q38" s="132">
        <f t="shared" si="4"/>
        <v>0.3376677179528317</v>
      </c>
      <c r="R38" s="132"/>
      <c r="S38" s="132"/>
    </row>
    <row r="39" spans="1:19" s="142" customFormat="1" ht="33.75" customHeight="1">
      <c r="A39" s="139" t="s">
        <v>76</v>
      </c>
      <c r="B39" s="128">
        <f>1.435347+0.001019</f>
        <v>1.436366</v>
      </c>
      <c r="C39" s="128">
        <f>'[1]UAT  2013  ian'!J56+'[1]UAT  2013  ian'!J58</f>
        <v>3.564227</v>
      </c>
      <c r="D39" s="140"/>
      <c r="E39" s="86">
        <v>0</v>
      </c>
      <c r="F39" s="86">
        <v>2.666475</v>
      </c>
      <c r="G39" s="140"/>
      <c r="H39" s="141"/>
      <c r="I39" s="138"/>
      <c r="J39" s="81"/>
      <c r="K39" s="138"/>
      <c r="L39" s="61">
        <f t="shared" si="0"/>
        <v>7.667068</v>
      </c>
      <c r="M39" s="81"/>
      <c r="N39" s="61">
        <f t="shared" si="1"/>
        <v>7.667068</v>
      </c>
      <c r="O39" s="81"/>
      <c r="P39" s="59">
        <f t="shared" si="2"/>
        <v>7.667068</v>
      </c>
      <c r="Q39" s="61">
        <f t="shared" si="4"/>
        <v>0.0012300766885929729</v>
      </c>
      <c r="R39" s="61"/>
      <c r="S39" s="61"/>
    </row>
    <row r="40" spans="1:24" ht="45.75" customHeight="1">
      <c r="A40" s="139" t="s">
        <v>77</v>
      </c>
      <c r="B40" s="128">
        <v>46.095289</v>
      </c>
      <c r="C40" s="128">
        <f>'[1]UAT  2013  ian'!J62</f>
        <v>101.587789</v>
      </c>
      <c r="D40" s="86"/>
      <c r="E40" s="86">
        <v>0.003214</v>
      </c>
      <c r="F40" s="86"/>
      <c r="G40" s="86"/>
      <c r="H40" s="81">
        <v>16.426928</v>
      </c>
      <c r="I40" s="81"/>
      <c r="J40" s="81"/>
      <c r="K40" s="81"/>
      <c r="L40" s="61">
        <f t="shared" si="0"/>
        <v>164.11322</v>
      </c>
      <c r="M40" s="81"/>
      <c r="N40" s="61">
        <f t="shared" si="1"/>
        <v>164.11322</v>
      </c>
      <c r="O40" s="81"/>
      <c r="P40" s="59">
        <f t="shared" si="2"/>
        <v>164.11322</v>
      </c>
      <c r="Q40" s="61">
        <f t="shared" si="4"/>
        <v>0.026329732071233757</v>
      </c>
      <c r="R40" s="61"/>
      <c r="S40" s="61"/>
      <c r="X40" s="2">
        <f>27217+1277.886</f>
        <v>28494.886</v>
      </c>
    </row>
    <row r="41" spans="1:24" ht="30.75" customHeight="1">
      <c r="A41" s="135" t="s">
        <v>78</v>
      </c>
      <c r="B41" s="128">
        <v>47.806102</v>
      </c>
      <c r="C41" s="128">
        <f>'[1]UAT  2013  ian'!J65</f>
        <v>0</v>
      </c>
      <c r="D41" s="86"/>
      <c r="E41" s="86"/>
      <c r="F41" s="86"/>
      <c r="G41" s="86"/>
      <c r="H41" s="81">
        <v>0</v>
      </c>
      <c r="I41" s="81"/>
      <c r="J41" s="81"/>
      <c r="K41" s="81"/>
      <c r="L41" s="61">
        <f t="shared" si="0"/>
        <v>47.806102</v>
      </c>
      <c r="M41" s="81"/>
      <c r="N41" s="61">
        <f t="shared" si="1"/>
        <v>47.806102</v>
      </c>
      <c r="O41" s="81"/>
      <c r="P41" s="59">
        <f t="shared" si="2"/>
        <v>47.806102</v>
      </c>
      <c r="Q41" s="61">
        <f t="shared" si="4"/>
        <v>0.007669838280121932</v>
      </c>
      <c r="R41" s="61"/>
      <c r="S41" s="61"/>
      <c r="X41" s="2">
        <f>24176+1628</f>
        <v>25804</v>
      </c>
    </row>
    <row r="42" spans="1:24" ht="26.25" customHeight="1">
      <c r="A42" s="143" t="s">
        <v>79</v>
      </c>
      <c r="B42" s="128">
        <v>3.913965</v>
      </c>
      <c r="C42" s="128">
        <f>'[1]UAT  2013  ian'!J67</f>
        <v>12.650298</v>
      </c>
      <c r="D42" s="86"/>
      <c r="E42" s="86"/>
      <c r="F42" s="86"/>
      <c r="G42" s="86"/>
      <c r="H42" s="81">
        <v>31.922174</v>
      </c>
      <c r="I42" s="81"/>
      <c r="J42" s="81"/>
      <c r="K42" s="81"/>
      <c r="L42" s="61">
        <f t="shared" si="0"/>
        <v>48.486436999999995</v>
      </c>
      <c r="M42" s="81"/>
      <c r="N42" s="61">
        <f t="shared" si="1"/>
        <v>48.486436999999995</v>
      </c>
      <c r="O42" s="81"/>
      <c r="P42" s="59">
        <f t="shared" si="2"/>
        <v>48.486436999999995</v>
      </c>
      <c r="Q42" s="61">
        <f t="shared" si="4"/>
        <v>0.007778988769452912</v>
      </c>
      <c r="R42" s="61"/>
      <c r="S42" s="61"/>
      <c r="X42" s="2">
        <f>X40-X41</f>
        <v>2690.8859999999986</v>
      </c>
    </row>
    <row r="43" spans="1:19" ht="27.75" customHeight="1">
      <c r="A43" s="144" t="s">
        <v>80</v>
      </c>
      <c r="B43" s="128">
        <v>12.959802</v>
      </c>
      <c r="C43" s="128"/>
      <c r="D43" s="86">
        <f>2415.024402+967.565595+D24-152.489635</f>
        <v>3231.620362</v>
      </c>
      <c r="E43" s="86">
        <f>72.913387+53.544458+E24</f>
        <v>127.47784499999999</v>
      </c>
      <c r="F43" s="86">
        <f>622.679123+677.484074+F24</f>
        <v>1355.053197</v>
      </c>
      <c r="G43" s="86"/>
      <c r="H43" s="81">
        <v>2.146174</v>
      </c>
      <c r="I43" s="81"/>
      <c r="J43" s="128"/>
      <c r="K43" s="81"/>
      <c r="L43" s="61">
        <f t="shared" si="0"/>
        <v>4729.25738</v>
      </c>
      <c r="M43" s="145">
        <f>-('[1] consolidari ian'!F106+'[1] consolidari ian'!F112+'[1] consolidari ian'!F113+'[1] consolidari ian'!F114)</f>
        <v>-35.178748</v>
      </c>
      <c r="N43" s="61">
        <f t="shared" si="1"/>
        <v>4694.078632</v>
      </c>
      <c r="O43" s="81"/>
      <c r="P43" s="59">
        <f t="shared" si="2"/>
        <v>4694.078632</v>
      </c>
      <c r="Q43" s="61">
        <f t="shared" si="4"/>
        <v>0.7531010158832022</v>
      </c>
      <c r="R43" s="61"/>
      <c r="S43" s="61"/>
    </row>
    <row r="44" spans="1:19" ht="27" customHeight="1">
      <c r="A44" s="146" t="s">
        <v>81</v>
      </c>
      <c r="B44" s="128">
        <v>610.754945</v>
      </c>
      <c r="C44" s="128">
        <f>'[1]UAT  2013  ian'!J71</f>
        <v>805.154305</v>
      </c>
      <c r="D44" s="94">
        <v>19.821</v>
      </c>
      <c r="E44" s="94">
        <v>0.336424</v>
      </c>
      <c r="F44" s="94">
        <v>2.04638</v>
      </c>
      <c r="G44" s="94"/>
      <c r="H44" s="128">
        <v>646.166735</v>
      </c>
      <c r="I44" s="128"/>
      <c r="J44" s="128">
        <v>295.827885</v>
      </c>
      <c r="K44" s="128">
        <f>'[1]SPECIAL_AND'!B43</f>
        <v>88.505</v>
      </c>
      <c r="L44" s="132">
        <f t="shared" si="0"/>
        <v>2468.6126740000004</v>
      </c>
      <c r="M44" s="145">
        <f>-('[1] consolidari ian'!F121+'[1] consolidari ian'!F122+'[1] consolidari ian'!F124+'[1] consolidari ian'!F143+'[1] consolidari ian'!F144+'[1] consolidari ian'!F164)-'[1] consolidari ian'!F166</f>
        <v>-741.342222</v>
      </c>
      <c r="N44" s="132">
        <f t="shared" si="1"/>
        <v>1727.2704520000004</v>
      </c>
      <c r="O44" s="128"/>
      <c r="P44" s="72">
        <f t="shared" si="2"/>
        <v>1727.2704520000004</v>
      </c>
      <c r="Q44" s="132">
        <f t="shared" si="4"/>
        <v>0.27711703064335</v>
      </c>
      <c r="R44" s="132"/>
      <c r="S44" s="132"/>
    </row>
    <row r="45" spans="1:21" ht="24" customHeight="1">
      <c r="A45" s="147" t="s">
        <v>82</v>
      </c>
      <c r="B45" s="128">
        <v>0</v>
      </c>
      <c r="C45" s="128">
        <f>'[1]UAT  2013  ian'!J76</f>
        <v>284.73016800000005</v>
      </c>
      <c r="D45" s="94">
        <v>1100</v>
      </c>
      <c r="E45" s="94">
        <v>0</v>
      </c>
      <c r="F45" s="94">
        <f>98.469151+12.675295</f>
        <v>111.144446</v>
      </c>
      <c r="G45" s="94"/>
      <c r="H45" s="128">
        <f>33.603972+492.591646</f>
        <v>526.195618</v>
      </c>
      <c r="I45" s="128"/>
      <c r="J45" s="128"/>
      <c r="K45" s="128">
        <f>'[1]SPECIAL_AND'!B55</f>
        <v>0</v>
      </c>
      <c r="L45" s="132">
        <f t="shared" si="0"/>
        <v>2022.070232</v>
      </c>
      <c r="M45" s="136">
        <f>-L45</f>
        <v>-2022.070232</v>
      </c>
      <c r="N45" s="132">
        <f t="shared" si="1"/>
        <v>0</v>
      </c>
      <c r="O45" s="128"/>
      <c r="P45" s="72">
        <f t="shared" si="2"/>
        <v>0</v>
      </c>
      <c r="Q45" s="132">
        <f t="shared" si="4"/>
        <v>0</v>
      </c>
      <c r="R45" s="132"/>
      <c r="S45" s="132"/>
      <c r="U45" s="2">
        <f>K45-270.7+65</f>
        <v>-205.7</v>
      </c>
    </row>
    <row r="46" spans="1:19" ht="23.25" customHeight="1">
      <c r="A46" s="147" t="s">
        <v>83</v>
      </c>
      <c r="B46" s="81">
        <v>5.052758</v>
      </c>
      <c r="C46" s="128">
        <f>'[1]UAT  2013  ian'!J74</f>
        <v>21.384163</v>
      </c>
      <c r="D46" s="94"/>
      <c r="E46" s="94"/>
      <c r="F46" s="94"/>
      <c r="G46" s="94"/>
      <c r="H46" s="128">
        <v>4.428728</v>
      </c>
      <c r="I46" s="128"/>
      <c r="J46" s="128"/>
      <c r="K46" s="128"/>
      <c r="L46" s="132">
        <f t="shared" si="0"/>
        <v>30.865649</v>
      </c>
      <c r="M46" s="128">
        <f>-'[1] consolidari ian'!F115</f>
        <v>0</v>
      </c>
      <c r="N46" s="132">
        <f t="shared" si="1"/>
        <v>30.865649</v>
      </c>
      <c r="O46" s="128"/>
      <c r="P46" s="72">
        <f t="shared" si="2"/>
        <v>30.865649</v>
      </c>
      <c r="Q46" s="132">
        <f t="shared" si="4"/>
        <v>0.004951973207123376</v>
      </c>
      <c r="R46" s="132"/>
      <c r="S46" s="132"/>
    </row>
    <row r="47" spans="1:21" ht="21" customHeight="1">
      <c r="A47" s="147" t="s">
        <v>84</v>
      </c>
      <c r="B47" s="128">
        <v>0</v>
      </c>
      <c r="C47" s="128">
        <f>'[1]UAT  2013  ian'!J80</f>
        <v>0.66</v>
      </c>
      <c r="D47" s="94"/>
      <c r="E47" s="94"/>
      <c r="F47" s="94">
        <v>0</v>
      </c>
      <c r="G47" s="94"/>
      <c r="H47" s="132"/>
      <c r="I47" s="128">
        <f>I62</f>
        <v>4.7722940000000005</v>
      </c>
      <c r="J47" s="128"/>
      <c r="K47" s="128">
        <f>'[1]SPECIAL_AND'!B52</f>
        <v>0</v>
      </c>
      <c r="L47" s="132">
        <f t="shared" si="0"/>
        <v>5.432294000000001</v>
      </c>
      <c r="M47" s="136">
        <f>-C47-K47</f>
        <v>-0.66</v>
      </c>
      <c r="N47" s="132">
        <f t="shared" si="1"/>
        <v>4.7722940000000005</v>
      </c>
      <c r="O47" s="128"/>
      <c r="P47" s="72">
        <f t="shared" si="2"/>
        <v>4.7722940000000005</v>
      </c>
      <c r="Q47" s="132">
        <f t="shared" si="4"/>
        <v>0.0007656496069308519</v>
      </c>
      <c r="R47" s="132"/>
      <c r="S47" s="132"/>
      <c r="U47" s="2">
        <f>259.2+172+62</f>
        <v>493.2</v>
      </c>
    </row>
    <row r="48" spans="1:19" ht="26.25" customHeight="1">
      <c r="A48" s="83" t="s">
        <v>85</v>
      </c>
      <c r="B48" s="148">
        <f>264.148275-197.708</f>
        <v>66.44027500000001</v>
      </c>
      <c r="C48" s="149">
        <f>'[1]UAT  2013  ian'!J83</f>
        <v>114.135515</v>
      </c>
      <c r="D48" s="150">
        <f>0.003071+1.484</f>
        <v>1.487071</v>
      </c>
      <c r="E48" s="150">
        <f>0.281671+2.116</f>
        <v>2.397671</v>
      </c>
      <c r="F48" s="94">
        <v>0</v>
      </c>
      <c r="G48" s="94"/>
      <c r="H48" s="151">
        <f>27.486182+0.665+9.747+0.04</f>
        <v>37.938182</v>
      </c>
      <c r="I48" s="128"/>
      <c r="J48" s="128"/>
      <c r="K48" s="128"/>
      <c r="L48" s="132">
        <f t="shared" si="0"/>
        <v>222.39871399999998</v>
      </c>
      <c r="M48" s="128"/>
      <c r="N48" s="132">
        <f t="shared" si="1"/>
        <v>222.39871399999998</v>
      </c>
      <c r="O48" s="128"/>
      <c r="P48" s="72">
        <f t="shared" si="2"/>
        <v>222.39871399999998</v>
      </c>
      <c r="Q48" s="132">
        <f t="shared" si="4"/>
        <v>0.03568084614150489</v>
      </c>
      <c r="R48" s="132"/>
      <c r="S48" s="132"/>
    </row>
    <row r="49" spans="1:19" ht="9" customHeight="1">
      <c r="A49" s="83"/>
      <c r="B49" s="152"/>
      <c r="C49" s="128"/>
      <c r="D49" s="94"/>
      <c r="E49" s="94"/>
      <c r="F49" s="94"/>
      <c r="G49" s="94"/>
      <c r="H49" s="153"/>
      <c r="I49" s="128"/>
      <c r="J49" s="128"/>
      <c r="K49" s="128"/>
      <c r="L49" s="132">
        <f t="shared" si="0"/>
        <v>0</v>
      </c>
      <c r="M49" s="128"/>
      <c r="N49" s="132">
        <f t="shared" si="1"/>
        <v>0</v>
      </c>
      <c r="O49" s="128"/>
      <c r="P49" s="72">
        <f t="shared" si="2"/>
        <v>0</v>
      </c>
      <c r="Q49" s="132">
        <f t="shared" si="4"/>
        <v>0</v>
      </c>
      <c r="R49" s="132"/>
      <c r="S49" s="132"/>
    </row>
    <row r="50" spans="1:19" ht="20.25" customHeight="1" hidden="1">
      <c r="A50" s="83" t="s">
        <v>86</v>
      </c>
      <c r="B50" s="152">
        <v>238.067</v>
      </c>
      <c r="C50" s="128" t="e">
        <f>#REF!</f>
        <v>#REF!</v>
      </c>
      <c r="D50" s="94"/>
      <c r="E50" s="94"/>
      <c r="F50" s="94"/>
      <c r="G50" s="94"/>
      <c r="H50" s="153"/>
      <c r="I50" s="128"/>
      <c r="J50" s="128"/>
      <c r="K50" s="128"/>
      <c r="L50" s="132" t="e">
        <f t="shared" si="0"/>
        <v>#REF!</v>
      </c>
      <c r="M50" s="128"/>
      <c r="N50" s="132" t="e">
        <f t="shared" si="1"/>
        <v>#REF!</v>
      </c>
      <c r="O50" s="128"/>
      <c r="P50" s="72" t="e">
        <f t="shared" si="2"/>
        <v>#REF!</v>
      </c>
      <c r="Q50" s="132" t="e">
        <f t="shared" si="4"/>
        <v>#REF!</v>
      </c>
      <c r="R50" s="132"/>
      <c r="S50" s="132"/>
    </row>
    <row r="51" spans="1:19" ht="22.5" customHeight="1">
      <c r="A51" s="147" t="s">
        <v>87</v>
      </c>
      <c r="B51" s="81">
        <f aca="true" t="shared" si="8" ref="B51:H51">B52</f>
        <v>0.001803</v>
      </c>
      <c r="C51" s="81">
        <f t="shared" si="8"/>
        <v>0</v>
      </c>
      <c r="D51" s="86">
        <f t="shared" si="8"/>
        <v>0</v>
      </c>
      <c r="E51" s="86">
        <f t="shared" si="8"/>
        <v>0</v>
      </c>
      <c r="F51" s="86">
        <f t="shared" si="8"/>
        <v>0</v>
      </c>
      <c r="G51" s="86">
        <f t="shared" si="8"/>
        <v>0</v>
      </c>
      <c r="H51" s="81">
        <f t="shared" si="8"/>
        <v>0</v>
      </c>
      <c r="I51" s="128"/>
      <c r="J51" s="81"/>
      <c r="K51" s="128">
        <f>K52</f>
        <v>0</v>
      </c>
      <c r="L51" s="132">
        <f t="shared" si="0"/>
        <v>0.001803</v>
      </c>
      <c r="M51" s="128"/>
      <c r="N51" s="132">
        <f t="shared" si="1"/>
        <v>0.001803</v>
      </c>
      <c r="O51" s="128">
        <f>O52</f>
        <v>-0.001803</v>
      </c>
      <c r="P51" s="154">
        <f t="shared" si="2"/>
        <v>0</v>
      </c>
      <c r="Q51" s="132">
        <f t="shared" si="4"/>
        <v>0</v>
      </c>
      <c r="R51" s="132"/>
      <c r="S51" s="132"/>
    </row>
    <row r="52" spans="1:19" ht="30">
      <c r="A52" s="155" t="s">
        <v>88</v>
      </c>
      <c r="B52" s="81">
        <v>0.001803</v>
      </c>
      <c r="C52" s="128">
        <f>'[1]UAT  2013  ian'!J84</f>
        <v>0</v>
      </c>
      <c r="D52" s="86"/>
      <c r="E52" s="86">
        <v>0</v>
      </c>
      <c r="F52" s="86"/>
      <c r="G52" s="86"/>
      <c r="H52" s="61">
        <v>0</v>
      </c>
      <c r="I52" s="81"/>
      <c r="J52" s="81"/>
      <c r="K52" s="81"/>
      <c r="L52" s="61">
        <f t="shared" si="0"/>
        <v>0.001803</v>
      </c>
      <c r="M52" s="81"/>
      <c r="N52" s="61">
        <f t="shared" si="1"/>
        <v>0.001803</v>
      </c>
      <c r="O52" s="81">
        <f>-N52</f>
        <v>-0.001803</v>
      </c>
      <c r="P52" s="82">
        <f t="shared" si="2"/>
        <v>0</v>
      </c>
      <c r="Q52" s="61">
        <f t="shared" si="4"/>
        <v>0</v>
      </c>
      <c r="R52" s="61"/>
      <c r="S52" s="61"/>
    </row>
    <row r="53" spans="1:19" ht="36" customHeight="1">
      <c r="A53" s="83" t="s">
        <v>89</v>
      </c>
      <c r="B53" s="81">
        <v>-215.789337</v>
      </c>
      <c r="C53" s="128"/>
      <c r="D53" s="86"/>
      <c r="E53" s="86">
        <v>0</v>
      </c>
      <c r="F53" s="86"/>
      <c r="G53" s="86"/>
      <c r="H53" s="61"/>
      <c r="I53" s="81"/>
      <c r="J53" s="81"/>
      <c r="K53" s="81"/>
      <c r="L53" s="61">
        <f t="shared" si="0"/>
        <v>-215.789337</v>
      </c>
      <c r="M53" s="81"/>
      <c r="N53" s="61">
        <f t="shared" si="1"/>
        <v>-215.789337</v>
      </c>
      <c r="O53" s="81"/>
      <c r="P53" s="82">
        <f t="shared" si="2"/>
        <v>-215.789337</v>
      </c>
      <c r="Q53" s="61">
        <f t="shared" si="4"/>
        <v>-0.03462046157548532</v>
      </c>
      <c r="R53" s="61"/>
      <c r="S53" s="61"/>
    </row>
    <row r="54" spans="1:19" ht="47.25" customHeight="1" hidden="1">
      <c r="A54" s="83"/>
      <c r="B54" s="81"/>
      <c r="C54" s="128"/>
      <c r="D54" s="86"/>
      <c r="E54" s="86"/>
      <c r="F54" s="86"/>
      <c r="G54" s="86"/>
      <c r="H54" s="61"/>
      <c r="I54" s="81"/>
      <c r="J54" s="81"/>
      <c r="K54" s="81"/>
      <c r="L54" s="61"/>
      <c r="M54" s="81"/>
      <c r="N54" s="61"/>
      <c r="O54" s="81"/>
      <c r="P54" s="82"/>
      <c r="Q54" s="61"/>
      <c r="R54" s="61"/>
      <c r="S54" s="61"/>
    </row>
    <row r="55" spans="1:19" ht="34.5" customHeight="1" hidden="1">
      <c r="A55" s="83"/>
      <c r="B55" s="86">
        <f>B56+B57</f>
        <v>7582.828707</v>
      </c>
      <c r="C55" s="86">
        <f>C56+C57</f>
        <v>3236.831927</v>
      </c>
      <c r="D55" s="86">
        <f>D56+D57</f>
        <v>3973.983298</v>
      </c>
      <c r="E55" s="86">
        <f>E56+E57</f>
        <v>141.245075</v>
      </c>
      <c r="F55" s="156">
        <f>F56+F57</f>
        <v>1539.4499700000001</v>
      </c>
      <c r="G55" s="86">
        <f>G57-G62</f>
        <v>0</v>
      </c>
      <c r="H55" s="61">
        <f>H56-H57</f>
        <v>977.269472</v>
      </c>
      <c r="I55" s="81"/>
      <c r="J55" s="86">
        <f>J56+J57</f>
        <v>121.88</v>
      </c>
      <c r="K55" s="81"/>
      <c r="L55" s="61"/>
      <c r="M55" s="81"/>
      <c r="N55" s="61"/>
      <c r="O55" s="81"/>
      <c r="P55" s="82"/>
      <c r="Q55" s="61"/>
      <c r="R55" s="61"/>
      <c r="S55" s="61"/>
    </row>
    <row r="56" spans="1:19" ht="15.75" customHeight="1" hidden="1">
      <c r="A56" s="83"/>
      <c r="B56" s="157">
        <v>7582.828707</v>
      </c>
      <c r="C56" s="81">
        <f>'[1]UAT  2013  ian'!J95</f>
        <v>3236.831927</v>
      </c>
      <c r="D56" s="90">
        <v>3972.463298</v>
      </c>
      <c r="E56" s="90">
        <v>140.225075</v>
      </c>
      <c r="F56" s="90">
        <v>1484.55997</v>
      </c>
      <c r="G56" s="86"/>
      <c r="H56" s="158">
        <v>977.269472</v>
      </c>
      <c r="I56" s="81"/>
      <c r="J56" s="157">
        <v>121.88</v>
      </c>
      <c r="K56" s="81"/>
      <c r="L56" s="61"/>
      <c r="M56" s="81"/>
      <c r="N56" s="61"/>
      <c r="O56" s="81"/>
      <c r="P56" s="82"/>
      <c r="Q56" s="61"/>
      <c r="R56" s="61"/>
      <c r="S56" s="61"/>
    </row>
    <row r="57" spans="1:19" ht="15.75" customHeight="1" hidden="1">
      <c r="A57" s="83"/>
      <c r="B57" s="81"/>
      <c r="C57" s="81"/>
      <c r="D57" s="86">
        <f>D24</f>
        <v>1.52</v>
      </c>
      <c r="E57" s="86">
        <f>E24</f>
        <v>1.02</v>
      </c>
      <c r="F57" s="86">
        <f>F24</f>
        <v>54.89</v>
      </c>
      <c r="G57" s="86"/>
      <c r="H57" s="159">
        <f>H56-H62</f>
        <v>0</v>
      </c>
      <c r="I57" s="81"/>
      <c r="J57" s="81"/>
      <c r="K57" s="81"/>
      <c r="L57" s="61"/>
      <c r="M57" s="81"/>
      <c r="N57" s="61"/>
      <c r="O57" s="81"/>
      <c r="P57" s="82"/>
      <c r="Q57" s="61"/>
      <c r="R57" s="61"/>
      <c r="S57" s="61"/>
    </row>
    <row r="58" spans="1:19" ht="15.75" customHeight="1" hidden="1">
      <c r="A58" s="83"/>
      <c r="B58" s="81">
        <f>B56-B62</f>
        <v>-3.000000106112566E-06</v>
      </c>
      <c r="C58" s="81"/>
      <c r="D58" s="86"/>
      <c r="E58" s="86"/>
      <c r="F58" s="86"/>
      <c r="G58" s="86"/>
      <c r="H58" s="61"/>
      <c r="I58" s="81"/>
      <c r="J58" s="81"/>
      <c r="K58" s="81"/>
      <c r="L58" s="61"/>
      <c r="M58" s="81"/>
      <c r="N58" s="61"/>
      <c r="O58" s="81"/>
      <c r="P58" s="82"/>
      <c r="Q58" s="61"/>
      <c r="R58" s="61"/>
      <c r="S58" s="61"/>
    </row>
    <row r="59" spans="1:19" ht="19.5" customHeight="1" hidden="1">
      <c r="A59" s="83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61"/>
      <c r="M59" s="81"/>
      <c r="N59" s="61"/>
      <c r="O59" s="81"/>
      <c r="P59" s="82"/>
      <c r="Q59" s="61"/>
      <c r="R59" s="61"/>
      <c r="S59" s="61"/>
    </row>
    <row r="60" spans="1:19" ht="15.75" customHeight="1" hidden="1">
      <c r="A60" s="83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61"/>
      <c r="M60" s="81"/>
      <c r="N60" s="61"/>
      <c r="O60" s="81"/>
      <c r="P60" s="82"/>
      <c r="Q60" s="61"/>
      <c r="R60" s="61"/>
      <c r="S60" s="61"/>
    </row>
    <row r="61" spans="1:19" ht="15.75" customHeight="1" hidden="1">
      <c r="A61" s="83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61"/>
      <c r="M61" s="81"/>
      <c r="N61" s="61"/>
      <c r="O61" s="81"/>
      <c r="P61" s="82"/>
      <c r="Q61" s="61"/>
      <c r="R61" s="61"/>
      <c r="S61" s="61"/>
    </row>
    <row r="62" spans="1:19" s="167" customFormat="1" ht="18.75" customHeight="1">
      <c r="A62" s="160" t="s">
        <v>90</v>
      </c>
      <c r="B62" s="110">
        <f>B63+B75+B78+B81</f>
        <v>7582.82871</v>
      </c>
      <c r="C62" s="70">
        <f aca="true" t="shared" si="9" ref="C62:K62">C63+C75+C78+C81+C82</f>
        <v>3236.831927</v>
      </c>
      <c r="D62" s="110">
        <f t="shared" si="9"/>
        <v>3973.983299</v>
      </c>
      <c r="E62" s="110">
        <f t="shared" si="9"/>
        <v>141.245075</v>
      </c>
      <c r="F62" s="110">
        <f t="shared" si="9"/>
        <v>1539.449971</v>
      </c>
      <c r="G62" s="110">
        <f t="shared" si="9"/>
        <v>0</v>
      </c>
      <c r="H62" s="161">
        <f t="shared" si="9"/>
        <v>977.269472</v>
      </c>
      <c r="I62" s="162">
        <f t="shared" si="9"/>
        <v>4.7722940000000005</v>
      </c>
      <c r="J62" s="110">
        <f t="shared" si="9"/>
        <v>121.880217</v>
      </c>
      <c r="K62" s="163">
        <f t="shared" si="9"/>
        <v>504.93271300000004</v>
      </c>
      <c r="L62" s="164">
        <f aca="true" t="shared" si="10" ref="L62:L81">SUM(B62:K62)</f>
        <v>18083.193678</v>
      </c>
      <c r="M62" s="70">
        <f>M63+M75+M78+M81+M82</f>
        <v>-2799.2512019999995</v>
      </c>
      <c r="N62" s="76">
        <f aca="true" t="shared" si="11" ref="N62:N81">L62+M62</f>
        <v>15283.942476</v>
      </c>
      <c r="O62" s="70">
        <f>O63+O75+O78+O81+O82</f>
        <v>-342.35055400000005</v>
      </c>
      <c r="P62" s="165">
        <f aca="true" t="shared" si="12" ref="P62:P78">N62+O62</f>
        <v>14941.591922</v>
      </c>
      <c r="Q62" s="166">
        <f aca="true" t="shared" si="13" ref="Q62:Q81">P62/$P$7*100</f>
        <v>2.3971750235841487</v>
      </c>
      <c r="R62" s="166"/>
      <c r="S62" s="166"/>
    </row>
    <row r="63" spans="1:20" ht="19.5" customHeight="1">
      <c r="A63" s="168" t="s">
        <v>91</v>
      </c>
      <c r="B63" s="25">
        <f>SUM(B64:B68)+B74</f>
        <v>7249.260802999999</v>
      </c>
      <c r="C63" s="25">
        <f aca="true" t="shared" si="14" ref="C63:K63">C64+C65+C66+C67+C68+C74</f>
        <v>3006.1001720000004</v>
      </c>
      <c r="D63" s="169">
        <f t="shared" si="14"/>
        <v>3979.311536</v>
      </c>
      <c r="E63" s="169">
        <f t="shared" si="14"/>
        <v>142.060652</v>
      </c>
      <c r="F63" s="169">
        <f t="shared" si="14"/>
        <v>1540.293531</v>
      </c>
      <c r="G63" s="169">
        <f t="shared" si="14"/>
        <v>0</v>
      </c>
      <c r="H63" s="25">
        <f t="shared" si="14"/>
        <v>973.0043529999999</v>
      </c>
      <c r="I63" s="25">
        <f t="shared" si="14"/>
        <v>4.7722940000000005</v>
      </c>
      <c r="J63" s="170">
        <f t="shared" si="14"/>
        <v>121.880526</v>
      </c>
      <c r="K63" s="25">
        <f t="shared" si="14"/>
        <v>51.27427</v>
      </c>
      <c r="L63" s="132">
        <f t="shared" si="10"/>
        <v>17067.958137</v>
      </c>
      <c r="M63" s="25">
        <f>M64+M65+M66+M67+M68+M74</f>
        <v>-2799.2512019999995</v>
      </c>
      <c r="N63" s="132">
        <f t="shared" si="11"/>
        <v>14268.706935000002</v>
      </c>
      <c r="O63" s="25">
        <f>O64+O65+O66+O67+O68+O74</f>
        <v>0</v>
      </c>
      <c r="P63" s="154">
        <f t="shared" si="12"/>
        <v>14268.706935000002</v>
      </c>
      <c r="Q63" s="132">
        <f t="shared" si="13"/>
        <v>2.2892197874217874</v>
      </c>
      <c r="R63" s="132"/>
      <c r="S63" s="132"/>
      <c r="T63" s="2">
        <f>P64+P65+P66+P67+P69+P70+P71+P72+P73+P74+P76+P77+P81</f>
        <v>14941.591922000001</v>
      </c>
    </row>
    <row r="64" spans="1:23" ht="23.25" customHeight="1">
      <c r="A64" s="171" t="s">
        <v>92</v>
      </c>
      <c r="B64" s="170">
        <v>1568.049278</v>
      </c>
      <c r="C64" s="170">
        <f>'[1]UAT  2013  ian'!J99</f>
        <v>1501.86967</v>
      </c>
      <c r="D64" s="131">
        <v>12.365832</v>
      </c>
      <c r="E64" s="131">
        <v>7.201315</v>
      </c>
      <c r="F64" s="131">
        <v>11.798015</v>
      </c>
      <c r="G64" s="131"/>
      <c r="H64" s="172">
        <v>616.804348</v>
      </c>
      <c r="I64" s="170">
        <v>0</v>
      </c>
      <c r="J64" s="5"/>
      <c r="K64" s="170">
        <f>'[1]SPECIAL_AND'!B69</f>
        <v>16.04752</v>
      </c>
      <c r="L64" s="132">
        <f t="shared" si="10"/>
        <v>3734.135978</v>
      </c>
      <c r="M64" s="23"/>
      <c r="N64" s="132">
        <f t="shared" si="11"/>
        <v>3734.135978</v>
      </c>
      <c r="O64" s="23"/>
      <c r="P64" s="154">
        <f t="shared" si="12"/>
        <v>3734.135978</v>
      </c>
      <c r="Q64" s="132">
        <f t="shared" si="13"/>
        <v>0.5990912847745868</v>
      </c>
      <c r="R64" s="132"/>
      <c r="S64" s="132"/>
      <c r="W64" s="2">
        <f>0.684/9*12</f>
        <v>0.9120000000000001</v>
      </c>
    </row>
    <row r="65" spans="1:23" ht="23.25" customHeight="1">
      <c r="A65" s="171" t="s">
        <v>93</v>
      </c>
      <c r="B65" s="170">
        <v>245.1916</v>
      </c>
      <c r="C65" s="170">
        <f>'[1]UAT  2013  ian'!J101</f>
        <v>822.0898860000001</v>
      </c>
      <c r="D65" s="131">
        <v>30.960292</v>
      </c>
      <c r="E65" s="131">
        <v>2.79374</v>
      </c>
      <c r="F65" s="131">
        <v>1438.081577</v>
      </c>
      <c r="G65" s="131">
        <v>0</v>
      </c>
      <c r="H65" s="5">
        <v>265.357373</v>
      </c>
      <c r="I65" s="5">
        <v>0</v>
      </c>
      <c r="J65" s="5">
        <v>1.704024</v>
      </c>
      <c r="K65" s="5">
        <f>'[1]SPECIAL_AND'!B71</f>
        <v>32.45275</v>
      </c>
      <c r="L65" s="132">
        <f t="shared" si="10"/>
        <v>2838.631242</v>
      </c>
      <c r="M65" s="136">
        <f>-('[1] consolidari ian'!F96+'[1] consolidari ian'!F143+'[1] consolidari ian'!F144)</f>
        <v>-719.465257</v>
      </c>
      <c r="N65" s="132">
        <f t="shared" si="11"/>
        <v>2119.165985</v>
      </c>
      <c r="O65" s="23"/>
      <c r="P65" s="154">
        <f t="shared" si="12"/>
        <v>2119.165985</v>
      </c>
      <c r="Q65" s="132">
        <f t="shared" si="13"/>
        <v>0.3399913340285577</v>
      </c>
      <c r="R65" s="132"/>
      <c r="S65" s="132"/>
      <c r="W65" s="2">
        <f>0.523/9*12</f>
        <v>0.6973333333333334</v>
      </c>
    </row>
    <row r="66" spans="1:19" ht="17.25" customHeight="1">
      <c r="A66" s="171" t="s">
        <v>94</v>
      </c>
      <c r="B66" s="170">
        <v>795.1672</v>
      </c>
      <c r="C66" s="170">
        <f>'[1]UAT  2013  ian'!J103</f>
        <v>48.857376</v>
      </c>
      <c r="D66" s="131">
        <v>2.362474</v>
      </c>
      <c r="E66" s="131"/>
      <c r="F66" s="131">
        <v>0</v>
      </c>
      <c r="G66" s="131">
        <v>0</v>
      </c>
      <c r="H66" s="5">
        <v>0.117218</v>
      </c>
      <c r="I66" s="5">
        <v>0</v>
      </c>
      <c r="J66" s="170">
        <v>120.176502</v>
      </c>
      <c r="K66" s="5">
        <f>'[1]SPECIAL_AND'!B74</f>
        <v>2.774</v>
      </c>
      <c r="L66" s="132">
        <f t="shared" si="10"/>
        <v>969.45477</v>
      </c>
      <c r="M66" s="136">
        <f>-('[1] consolidari ian'!F121+'[1] consolidari ian'!F122)+'[1]SPECIAL_AND'!C74</f>
        <v>-21.876965</v>
      </c>
      <c r="N66" s="132">
        <f t="shared" si="11"/>
        <v>947.577805</v>
      </c>
      <c r="O66" s="23"/>
      <c r="P66" s="154">
        <f t="shared" si="12"/>
        <v>947.577805</v>
      </c>
      <c r="Q66" s="132">
        <f t="shared" si="13"/>
        <v>0.1520259594095941</v>
      </c>
      <c r="R66" s="132"/>
      <c r="S66" s="132"/>
    </row>
    <row r="67" spans="1:19" ht="18.75" customHeight="1">
      <c r="A67" s="171" t="s">
        <v>95</v>
      </c>
      <c r="B67" s="170">
        <v>126.240963</v>
      </c>
      <c r="C67" s="170">
        <f>'[1]UAT  2013  ian'!J105</f>
        <v>173.025606</v>
      </c>
      <c r="D67" s="131"/>
      <c r="E67" s="131">
        <v>0.051144</v>
      </c>
      <c r="F67" s="131"/>
      <c r="G67" s="131"/>
      <c r="H67" s="5"/>
      <c r="I67" s="170">
        <f>'[1]prog 2013'!I78/12</f>
        <v>0</v>
      </c>
      <c r="J67" s="154"/>
      <c r="K67" s="170"/>
      <c r="L67" s="132">
        <f t="shared" si="10"/>
        <v>299.317713</v>
      </c>
      <c r="M67" s="23"/>
      <c r="N67" s="132">
        <f t="shared" si="11"/>
        <v>299.317713</v>
      </c>
      <c r="O67" s="23"/>
      <c r="P67" s="154">
        <f t="shared" si="12"/>
        <v>299.317713</v>
      </c>
      <c r="Q67" s="132">
        <f t="shared" si="13"/>
        <v>0.04802145243061127</v>
      </c>
      <c r="R67" s="132"/>
      <c r="S67" s="132"/>
    </row>
    <row r="68" spans="1:19" ht="26.25" customHeight="1">
      <c r="A68" s="173" t="s">
        <v>96</v>
      </c>
      <c r="B68" s="154">
        <f>SUM(B69:B73)</f>
        <v>4443.513572999999</v>
      </c>
      <c r="C68" s="154">
        <f aca="true" t="shared" si="15" ref="C68:K68">C69+C70+C72+C73+C71</f>
        <v>460.25763399999994</v>
      </c>
      <c r="D68" s="174">
        <f t="shared" si="15"/>
        <v>3933.622938</v>
      </c>
      <c r="E68" s="174">
        <f t="shared" si="15"/>
        <v>132.014453</v>
      </c>
      <c r="F68" s="174">
        <f t="shared" si="15"/>
        <v>90.41393900000001</v>
      </c>
      <c r="G68" s="174">
        <f t="shared" si="15"/>
        <v>0</v>
      </c>
      <c r="H68" s="154">
        <f t="shared" si="15"/>
        <v>90.725414</v>
      </c>
      <c r="I68" s="154">
        <f t="shared" si="15"/>
        <v>4.7722940000000005</v>
      </c>
      <c r="J68" s="154">
        <f t="shared" si="15"/>
        <v>0</v>
      </c>
      <c r="K68" s="154">
        <f t="shared" si="15"/>
        <v>0</v>
      </c>
      <c r="L68" s="132">
        <f t="shared" si="10"/>
        <v>9155.320244999999</v>
      </c>
      <c r="M68" s="154">
        <f>M69+M70+M72+M73+M71</f>
        <v>-2057.9089799999997</v>
      </c>
      <c r="N68" s="132">
        <f t="shared" si="11"/>
        <v>7097.411264999999</v>
      </c>
      <c r="O68" s="154">
        <f>O69+O70+O72+O73+O71</f>
        <v>0</v>
      </c>
      <c r="P68" s="154">
        <f t="shared" si="12"/>
        <v>7097.411264999999</v>
      </c>
      <c r="Q68" s="132">
        <f t="shared" si="13"/>
        <v>1.1386830202149847</v>
      </c>
      <c r="R68" s="132"/>
      <c r="S68" s="132"/>
    </row>
    <row r="69" spans="1:23" ht="32.25" customHeight="1">
      <c r="A69" s="175" t="s">
        <v>97</v>
      </c>
      <c r="B69" s="176">
        <v>1815.34129</v>
      </c>
      <c r="C69" s="126">
        <f>'[1]UAT  2013  ian'!J109</f>
        <v>43.42040899999999</v>
      </c>
      <c r="D69" s="177">
        <v>0.001851</v>
      </c>
      <c r="E69" s="177">
        <v>32.326312</v>
      </c>
      <c r="F69" s="177"/>
      <c r="G69" s="177"/>
      <c r="H69" s="176">
        <v>18.42097</v>
      </c>
      <c r="I69" s="126">
        <v>0</v>
      </c>
      <c r="J69" s="25"/>
      <c r="K69" s="126"/>
      <c r="L69" s="61">
        <f t="shared" si="10"/>
        <v>1909.510832</v>
      </c>
      <c r="M69" s="136">
        <f>-(C45+D45+F45+E45+H45)+M43+'[1] consolidari ian'!F42+'[1] consolidari ian'!F48+'[1] consolidari ian'!F50+'[1] consolidari ian'!F159+'[1] consolidari ian'!F61+'[1] consolidari ian'!F62+'[1] consolidari ian'!F148-'[1] consolidari ian'!F124+'[1]SPECIAL_AND'!C76-'[1] consolidari ian'!F166+85</f>
        <v>-1902.2652899999996</v>
      </c>
      <c r="N69" s="61">
        <f t="shared" si="11"/>
        <v>7.245542000000341</v>
      </c>
      <c r="O69" s="57"/>
      <c r="P69" s="82">
        <f t="shared" si="12"/>
        <v>7.245542000000341</v>
      </c>
      <c r="Q69" s="61">
        <f t="shared" si="13"/>
        <v>0.00116244858013803</v>
      </c>
      <c r="R69" s="61"/>
      <c r="S69" s="61"/>
      <c r="T69" s="82"/>
      <c r="U69" s="2">
        <f>1140-785</f>
        <v>355</v>
      </c>
      <c r="V69" s="14">
        <f>P69-T69</f>
        <v>7.245542000000341</v>
      </c>
      <c r="W69" s="14"/>
    </row>
    <row r="70" spans="1:23" ht="15.75">
      <c r="A70" s="178" t="s">
        <v>98</v>
      </c>
      <c r="B70" s="176">
        <v>924.492975</v>
      </c>
      <c r="C70" s="5">
        <f>'[1]UAT  2013  ian'!J111</f>
        <v>8.36482</v>
      </c>
      <c r="D70" s="131">
        <v>0</v>
      </c>
      <c r="E70" s="131">
        <v>0</v>
      </c>
      <c r="F70" s="131"/>
      <c r="G70" s="131">
        <v>0</v>
      </c>
      <c r="H70" s="126">
        <v>1.935908</v>
      </c>
      <c r="I70" s="179">
        <f>1.055805+3.716489</f>
        <v>4.7722940000000005</v>
      </c>
      <c r="J70" s="126"/>
      <c r="K70" s="5"/>
      <c r="L70" s="132">
        <f t="shared" si="10"/>
        <v>939.565997</v>
      </c>
      <c r="M70" s="136">
        <f>-('[1] consolidari ian'!F93+'[1] consolidari ian'!F115+'[1] consolidari ian'!F134+'[1] consolidari ian'!F164)+'[1]SPECIAL_AND'!C77-85</f>
        <v>-85.66</v>
      </c>
      <c r="N70" s="132">
        <f t="shared" si="11"/>
        <v>853.9059970000001</v>
      </c>
      <c r="O70" s="23"/>
      <c r="P70" s="154">
        <f t="shared" si="12"/>
        <v>853.9059970000001</v>
      </c>
      <c r="Q70" s="132">
        <f t="shared" si="13"/>
        <v>0.13699759297288625</v>
      </c>
      <c r="R70" s="132"/>
      <c r="S70" s="132"/>
      <c r="T70" s="2">
        <f>P69-T69</f>
        <v>7.245542000000341</v>
      </c>
      <c r="V70" s="14"/>
      <c r="W70" s="14"/>
    </row>
    <row r="71" spans="1:19" ht="38.25" customHeight="1">
      <c r="A71" s="139" t="s">
        <v>99</v>
      </c>
      <c r="B71" s="176">
        <v>521.170134</v>
      </c>
      <c r="C71" s="126">
        <f>'[1]UAT  2013  ian'!J113</f>
        <v>177.105584</v>
      </c>
      <c r="D71" s="126">
        <v>2.236195</v>
      </c>
      <c r="E71" s="126">
        <v>4.488165</v>
      </c>
      <c r="F71" s="126">
        <v>0.0031</v>
      </c>
      <c r="G71" s="131"/>
      <c r="H71" s="126">
        <v>44.088885</v>
      </c>
      <c r="I71" s="126">
        <v>0</v>
      </c>
      <c r="J71" s="5"/>
      <c r="K71" s="5"/>
      <c r="L71" s="61">
        <f t="shared" si="10"/>
        <v>749.0920629999999</v>
      </c>
      <c r="M71" s="136">
        <f>-('[1] consolidari ian'!F42+'[1] consolidari ian'!F48+'[1] consolidari ian'!F50+'[1] consolidari ian'!F148+'[1] consolidari ian'!F61+'[1] consolidari ian'!F62)+'[1]SPECIAL_AND'!C78</f>
        <v>-69.98369</v>
      </c>
      <c r="N71" s="61">
        <f t="shared" si="11"/>
        <v>679.1083729999999</v>
      </c>
      <c r="O71" s="57">
        <v>0</v>
      </c>
      <c r="P71" s="61">
        <f t="shared" si="12"/>
        <v>679.1083729999999</v>
      </c>
      <c r="Q71" s="61">
        <f t="shared" si="13"/>
        <v>0.10895369372693725</v>
      </c>
      <c r="R71" s="61"/>
      <c r="S71" s="61"/>
    </row>
    <row r="72" spans="1:19" ht="15.75">
      <c r="A72" s="178" t="s">
        <v>100</v>
      </c>
      <c r="B72" s="176">
        <v>1086.115361</v>
      </c>
      <c r="C72" s="5">
        <f>'[1]UAT  2013  ian'!J114</f>
        <v>205.545327</v>
      </c>
      <c r="D72" s="131">
        <f>3929.864892+D24</f>
        <v>3931.384892</v>
      </c>
      <c r="E72" s="131">
        <f>93.540929+E24</f>
        <v>94.560929</v>
      </c>
      <c r="F72" s="131">
        <f>35.520839+F24</f>
        <v>90.41083900000001</v>
      </c>
      <c r="G72" s="131"/>
      <c r="H72" s="5">
        <v>3.522589</v>
      </c>
      <c r="I72" s="5">
        <f>'[1]prog 2013'!K87/12</f>
        <v>0</v>
      </c>
      <c r="J72" s="5"/>
      <c r="K72" s="5"/>
      <c r="L72" s="132">
        <f t="shared" si="10"/>
        <v>5411.5399370000005</v>
      </c>
      <c r="M72" s="23"/>
      <c r="N72" s="132">
        <f t="shared" si="11"/>
        <v>5411.5399370000005</v>
      </c>
      <c r="O72" s="23"/>
      <c r="P72" s="154">
        <f t="shared" si="12"/>
        <v>5411.5399370000005</v>
      </c>
      <c r="Q72" s="132">
        <f t="shared" si="13"/>
        <v>0.8682079154500242</v>
      </c>
      <c r="R72" s="132"/>
      <c r="S72" s="132"/>
    </row>
    <row r="73" spans="1:19" ht="15.75">
      <c r="A73" s="178" t="s">
        <v>101</v>
      </c>
      <c r="B73" s="176">
        <v>96.393813</v>
      </c>
      <c r="C73" s="5">
        <f>'[1]UAT  2013  ian'!J116</f>
        <v>25.821493999999998</v>
      </c>
      <c r="D73" s="131">
        <v>0</v>
      </c>
      <c r="E73" s="131">
        <v>0.639047</v>
      </c>
      <c r="F73" s="131">
        <v>0</v>
      </c>
      <c r="G73" s="131"/>
      <c r="H73" s="5">
        <v>22.757062</v>
      </c>
      <c r="I73" s="5">
        <v>0</v>
      </c>
      <c r="J73" s="61">
        <v>0</v>
      </c>
      <c r="K73" s="5"/>
      <c r="L73" s="132">
        <f t="shared" si="10"/>
        <v>145.611416</v>
      </c>
      <c r="M73" s="23"/>
      <c r="N73" s="132">
        <f t="shared" si="11"/>
        <v>145.611416</v>
      </c>
      <c r="O73" s="23"/>
      <c r="P73" s="154">
        <f t="shared" si="12"/>
        <v>145.611416</v>
      </c>
      <c r="Q73" s="132">
        <f t="shared" si="13"/>
        <v>0.023361369484999197</v>
      </c>
      <c r="R73" s="132"/>
      <c r="S73" s="132"/>
    </row>
    <row r="74" spans="1:21" s="181" customFormat="1" ht="31.5" customHeight="1">
      <c r="A74" s="180" t="s">
        <v>102</v>
      </c>
      <c r="B74" s="176">
        <v>71.098189</v>
      </c>
      <c r="C74" s="126">
        <f>'[1]UAT  2013  ian'!J119</f>
        <v>0</v>
      </c>
      <c r="D74" s="131">
        <v>0</v>
      </c>
      <c r="E74" s="131"/>
      <c r="F74" s="131"/>
      <c r="G74" s="131">
        <f>'[1]prog 2013'!G88/12</f>
        <v>0</v>
      </c>
      <c r="H74" s="126"/>
      <c r="I74" s="61">
        <v>0</v>
      </c>
      <c r="J74" s="132"/>
      <c r="K74" s="126"/>
      <c r="L74" s="61">
        <f t="shared" si="10"/>
        <v>71.098189</v>
      </c>
      <c r="M74" s="136">
        <f>'[1]SPECIAL_AND'!C79-'[1] consolidari ian'!F160</f>
        <v>0</v>
      </c>
      <c r="N74" s="61">
        <f t="shared" si="11"/>
        <v>71.098189</v>
      </c>
      <c r="O74" s="57"/>
      <c r="P74" s="82">
        <f t="shared" si="12"/>
        <v>71.098189</v>
      </c>
      <c r="Q74" s="61">
        <f t="shared" si="13"/>
        <v>0.01140673656345259</v>
      </c>
      <c r="R74" s="61"/>
      <c r="S74" s="61"/>
      <c r="T74" s="2"/>
      <c r="U74" s="2"/>
    </row>
    <row r="75" spans="1:19" ht="19.5" customHeight="1">
      <c r="A75" s="168" t="s">
        <v>103</v>
      </c>
      <c r="B75" s="132">
        <f>SUM(B76:B77)</f>
        <v>60.140626</v>
      </c>
      <c r="C75" s="132">
        <f aca="true" t="shared" si="16" ref="C75:K75">C76+C77</f>
        <v>212.409102</v>
      </c>
      <c r="D75" s="182">
        <f t="shared" si="16"/>
        <v>0</v>
      </c>
      <c r="E75" s="182">
        <f t="shared" si="16"/>
        <v>0</v>
      </c>
      <c r="F75" s="182">
        <f t="shared" si="16"/>
        <v>0</v>
      </c>
      <c r="G75" s="182">
        <f t="shared" si="16"/>
        <v>0</v>
      </c>
      <c r="H75" s="132">
        <f t="shared" si="16"/>
        <v>4.210028</v>
      </c>
      <c r="I75" s="132">
        <f t="shared" si="16"/>
        <v>0</v>
      </c>
      <c r="J75" s="5">
        <f t="shared" si="16"/>
        <v>0</v>
      </c>
      <c r="K75" s="132">
        <f t="shared" si="16"/>
        <v>448.65844300000003</v>
      </c>
      <c r="L75" s="132">
        <f t="shared" si="10"/>
        <v>725.418199</v>
      </c>
      <c r="M75" s="132">
        <f>M76+M77</f>
        <v>0</v>
      </c>
      <c r="N75" s="132">
        <f t="shared" si="11"/>
        <v>725.418199</v>
      </c>
      <c r="O75" s="23">
        <f>O76+O77</f>
        <v>0</v>
      </c>
      <c r="P75" s="154">
        <f t="shared" si="12"/>
        <v>725.418199</v>
      </c>
      <c r="Q75" s="132">
        <f t="shared" si="13"/>
        <v>0.11638347489170543</v>
      </c>
      <c r="R75" s="132"/>
      <c r="S75" s="132"/>
    </row>
    <row r="76" spans="1:19" ht="19.5" customHeight="1">
      <c r="A76" s="178" t="s">
        <v>104</v>
      </c>
      <c r="B76" s="5">
        <v>60.140626</v>
      </c>
      <c r="C76" s="170">
        <f>'[1]UAT  2013  ian'!J124+'[1]UAT  2013  ian'!J126</f>
        <v>209.685779</v>
      </c>
      <c r="D76" s="131">
        <v>0</v>
      </c>
      <c r="E76" s="131">
        <v>0</v>
      </c>
      <c r="F76" s="131">
        <v>0</v>
      </c>
      <c r="G76" s="131">
        <v>0</v>
      </c>
      <c r="H76" s="5">
        <v>4.210028</v>
      </c>
      <c r="I76" s="5">
        <v>0</v>
      </c>
      <c r="J76" s="132">
        <v>0</v>
      </c>
      <c r="K76" s="170">
        <f>'[1]SPECIAL_AND'!B82</f>
        <v>448.65844300000003</v>
      </c>
      <c r="L76" s="132">
        <f t="shared" si="10"/>
        <v>722.694876</v>
      </c>
      <c r="M76" s="132">
        <f>-'[1] consolidari ian'!F161</f>
        <v>0</v>
      </c>
      <c r="N76" s="132">
        <f t="shared" si="11"/>
        <v>722.694876</v>
      </c>
      <c r="O76" s="23"/>
      <c r="P76" s="154">
        <f t="shared" si="12"/>
        <v>722.694876</v>
      </c>
      <c r="Q76" s="132">
        <f t="shared" si="13"/>
        <v>0.11594655478902616</v>
      </c>
      <c r="R76" s="132"/>
      <c r="S76" s="132"/>
    </row>
    <row r="77" spans="1:19" ht="19.5" customHeight="1">
      <c r="A77" s="178" t="s">
        <v>105</v>
      </c>
      <c r="B77" s="5">
        <v>0</v>
      </c>
      <c r="C77" s="170">
        <f>'[1]UAT  2013  ian'!J125</f>
        <v>2.7233229999999997</v>
      </c>
      <c r="D77" s="183"/>
      <c r="E77" s="183"/>
      <c r="F77" s="183"/>
      <c r="G77" s="183"/>
      <c r="H77" s="5"/>
      <c r="I77" s="132"/>
      <c r="J77" s="132"/>
      <c r="K77" s="170"/>
      <c r="L77" s="132">
        <f t="shared" si="10"/>
        <v>2.7233229999999997</v>
      </c>
      <c r="M77" s="23"/>
      <c r="N77" s="132">
        <f t="shared" si="11"/>
        <v>2.7233229999999997</v>
      </c>
      <c r="O77" s="23">
        <f>-B77</f>
        <v>0</v>
      </c>
      <c r="P77" s="154">
        <f t="shared" si="12"/>
        <v>2.7233229999999997</v>
      </c>
      <c r="Q77" s="132">
        <f t="shared" si="13"/>
        <v>0.0004369201026792876</v>
      </c>
      <c r="R77" s="132"/>
      <c r="S77" s="132"/>
    </row>
    <row r="78" spans="1:19" ht="23.25" customHeight="1">
      <c r="A78" s="168" t="s">
        <v>87</v>
      </c>
      <c r="B78" s="154">
        <f>B79+B80</f>
        <v>294.818954</v>
      </c>
      <c r="C78" s="154">
        <f>C79+C80</f>
        <v>42.430198999999995</v>
      </c>
      <c r="D78" s="183">
        <v>0</v>
      </c>
      <c r="E78" s="183">
        <v>0</v>
      </c>
      <c r="F78" s="183"/>
      <c r="G78" s="183">
        <f>'[1]prog 2013'!H89/12</f>
        <v>0</v>
      </c>
      <c r="H78" s="154">
        <f>H79+H80</f>
        <v>0.101401</v>
      </c>
      <c r="I78" s="132"/>
      <c r="J78" s="132">
        <f>J79+J80</f>
        <v>0</v>
      </c>
      <c r="K78" s="154">
        <f>K79+K80</f>
        <v>5</v>
      </c>
      <c r="L78" s="132">
        <f t="shared" si="10"/>
        <v>342.35055400000005</v>
      </c>
      <c r="M78" s="154">
        <f>M79+M80</f>
        <v>0</v>
      </c>
      <c r="N78" s="132">
        <f t="shared" si="11"/>
        <v>342.35055400000005</v>
      </c>
      <c r="O78" s="154">
        <f>O79+O80</f>
        <v>-342.35055400000005</v>
      </c>
      <c r="P78" s="154">
        <f t="shared" si="12"/>
        <v>0</v>
      </c>
      <c r="Q78" s="132">
        <f t="shared" si="13"/>
        <v>0</v>
      </c>
      <c r="R78" s="132"/>
      <c r="S78" s="132"/>
    </row>
    <row r="79" spans="1:20" ht="15.75">
      <c r="A79" s="184" t="s">
        <v>106</v>
      </c>
      <c r="B79" s="185"/>
      <c r="C79" s="170">
        <f>'[1]UAT  2013  ian'!J127</f>
        <v>0</v>
      </c>
      <c r="D79" s="183">
        <v>0</v>
      </c>
      <c r="E79" s="183">
        <v>0</v>
      </c>
      <c r="F79" s="183"/>
      <c r="G79" s="183">
        <v>0</v>
      </c>
      <c r="H79" s="170">
        <v>0.101401</v>
      </c>
      <c r="I79" s="132"/>
      <c r="J79" s="132"/>
      <c r="K79" s="170"/>
      <c r="L79" s="186">
        <f t="shared" si="10"/>
        <v>0.101401</v>
      </c>
      <c r="M79" s="23"/>
      <c r="N79" s="132">
        <f t="shared" si="11"/>
        <v>0.101401</v>
      </c>
      <c r="O79" s="187">
        <f>-N79</f>
        <v>-0.101401</v>
      </c>
      <c r="P79" s="154"/>
      <c r="Q79" s="132">
        <f t="shared" si="13"/>
        <v>0</v>
      </c>
      <c r="R79" s="132"/>
      <c r="S79" s="132"/>
      <c r="T79" s="2">
        <f>T78-O77</f>
        <v>0</v>
      </c>
    </row>
    <row r="80" spans="1:19" ht="19.5" customHeight="1">
      <c r="A80" s="184" t="s">
        <v>107</v>
      </c>
      <c r="B80" s="170">
        <v>294.818954</v>
      </c>
      <c r="C80" s="170">
        <f>'[1]UAT  2013  ian'!J129</f>
        <v>42.430198999999995</v>
      </c>
      <c r="D80" s="183">
        <v>0</v>
      </c>
      <c r="E80" s="183">
        <v>0</v>
      </c>
      <c r="F80" s="183"/>
      <c r="G80" s="183">
        <v>0</v>
      </c>
      <c r="H80" s="170"/>
      <c r="I80" s="132"/>
      <c r="J80" s="61"/>
      <c r="K80" s="170">
        <f>'[1]SPECIAL_AND'!B87</f>
        <v>5</v>
      </c>
      <c r="L80" s="132">
        <f t="shared" si="10"/>
        <v>342.24915300000004</v>
      </c>
      <c r="M80" s="136">
        <f>'[1]SPECIAL_AND'!C87</f>
        <v>0</v>
      </c>
      <c r="N80" s="132">
        <f t="shared" si="11"/>
        <v>342.24915300000004</v>
      </c>
      <c r="O80" s="23">
        <f>-N80</f>
        <v>-342.24915300000004</v>
      </c>
      <c r="P80" s="154">
        <f>N80+O80</f>
        <v>0</v>
      </c>
      <c r="Q80" s="132">
        <f t="shared" si="13"/>
        <v>0</v>
      </c>
      <c r="R80" s="132"/>
      <c r="S80" s="132"/>
    </row>
    <row r="81" spans="1:19" ht="34.5" customHeight="1">
      <c r="A81" s="188" t="s">
        <v>108</v>
      </c>
      <c r="B81" s="170">
        <v>-21.391673</v>
      </c>
      <c r="C81" s="170">
        <f>'[1]UAT  2013  ian'!J130</f>
        <v>-24.107546</v>
      </c>
      <c r="D81" s="177">
        <v>-5.328237</v>
      </c>
      <c r="E81" s="177">
        <v>-0.815577</v>
      </c>
      <c r="F81" s="177">
        <v>-0.84356</v>
      </c>
      <c r="G81" s="177">
        <f>'[1]prog 2013'!G91/12</f>
        <v>0</v>
      </c>
      <c r="H81" s="170">
        <v>-0.04631</v>
      </c>
      <c r="I81" s="61"/>
      <c r="J81" s="170">
        <v>-0.000309</v>
      </c>
      <c r="K81" s="176"/>
      <c r="L81" s="61">
        <f t="shared" si="10"/>
        <v>-52.53321199999999</v>
      </c>
      <c r="M81" s="57"/>
      <c r="N81" s="61">
        <f t="shared" si="11"/>
        <v>-52.53321199999999</v>
      </c>
      <c r="O81" s="57"/>
      <c r="P81" s="82">
        <f>N81+O81</f>
        <v>-52.53321199999999</v>
      </c>
      <c r="Q81" s="61">
        <f t="shared" si="13"/>
        <v>-0.008428238729343814</v>
      </c>
      <c r="R81" s="61"/>
      <c r="S81" s="61"/>
    </row>
    <row r="82" spans="1:19" ht="12" customHeight="1">
      <c r="A82" s="188"/>
      <c r="B82" s="176"/>
      <c r="C82" s="176"/>
      <c r="D82" s="177"/>
      <c r="E82" s="177"/>
      <c r="F82" s="177"/>
      <c r="G82" s="177"/>
      <c r="H82" s="122"/>
      <c r="I82" s="61"/>
      <c r="J82" s="176"/>
      <c r="K82" s="176"/>
      <c r="L82" s="61"/>
      <c r="M82" s="57"/>
      <c r="N82" s="61"/>
      <c r="O82" s="57"/>
      <c r="P82" s="82"/>
      <c r="Q82" s="61"/>
      <c r="R82" s="61"/>
      <c r="S82" s="61"/>
    </row>
    <row r="83" spans="1:22" s="197" customFormat="1" ht="26.25" customHeight="1" thickBot="1">
      <c r="A83" s="189" t="s">
        <v>109</v>
      </c>
      <c r="B83" s="190">
        <f aca="true" t="shared" si="17" ref="B83:K83">B28-B62</f>
        <v>-525.0775710000007</v>
      </c>
      <c r="C83" s="190">
        <f t="shared" si="17"/>
        <v>675.8162279999997</v>
      </c>
      <c r="D83" s="191">
        <f t="shared" si="17"/>
        <v>378.94513399999914</v>
      </c>
      <c r="E83" s="191">
        <f t="shared" si="17"/>
        <v>-11.02992100000003</v>
      </c>
      <c r="F83" s="191">
        <f t="shared" si="17"/>
        <v>-68.53947300000004</v>
      </c>
      <c r="G83" s="191">
        <f t="shared" si="17"/>
        <v>0</v>
      </c>
      <c r="H83" s="190">
        <f t="shared" si="17"/>
        <v>489.33913200000006</v>
      </c>
      <c r="I83" s="190">
        <f t="shared" si="17"/>
        <v>0</v>
      </c>
      <c r="J83" s="190">
        <f t="shared" si="17"/>
        <v>173.94766799999996</v>
      </c>
      <c r="K83" s="190">
        <f t="shared" si="17"/>
        <v>-416.42771300000004</v>
      </c>
      <c r="L83" s="192">
        <f>SUM(B83:K83)</f>
        <v>696.973483999998</v>
      </c>
      <c r="M83" s="193">
        <f>M28-M62</f>
        <v>0</v>
      </c>
      <c r="N83" s="190">
        <f>N28-N62</f>
        <v>696.9734839999983</v>
      </c>
      <c r="O83" s="190">
        <f>O28-O62</f>
        <v>342.34875100000005</v>
      </c>
      <c r="P83" s="192">
        <f>P28-P62</f>
        <v>1039.3222349999996</v>
      </c>
      <c r="Q83" s="194">
        <f>P83/$P$7*100</f>
        <v>0.16674510428365147</v>
      </c>
      <c r="R83" s="195"/>
      <c r="S83" s="195"/>
      <c r="T83" s="196">
        <f>P83/T7*100</f>
        <v>0.17508797759433956</v>
      </c>
      <c r="U83" s="197" t="e">
        <f>B83+C83+D83+E83+F83+G83+H83+I83+J83+K83+#REF!+#REF!++M83+O83</f>
        <v>#REF!</v>
      </c>
      <c r="V83" s="198"/>
    </row>
    <row r="84" spans="1:22" s="204" customFormat="1" ht="24.75" customHeight="1" hidden="1" thickTop="1">
      <c r="A84" s="199"/>
      <c r="B84" s="200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1"/>
      <c r="R84" s="202"/>
      <c r="S84" s="202"/>
      <c r="T84" s="203"/>
      <c r="V84" s="205"/>
    </row>
    <row r="85" spans="1:22" ht="24.75" customHeight="1" hidden="1">
      <c r="A85" s="206"/>
      <c r="B85" s="122">
        <f aca="true" t="shared" si="18" ref="B85:K85">B83-B90</f>
        <v>-197.70757100000083</v>
      </c>
      <c r="C85" s="122">
        <f t="shared" si="18"/>
        <v>-281.9437720000001</v>
      </c>
      <c r="D85" s="123">
        <f t="shared" si="18"/>
        <v>1.485133999999107</v>
      </c>
      <c r="E85" s="123">
        <f t="shared" si="18"/>
        <v>2.1200789999999614</v>
      </c>
      <c r="F85" s="123">
        <f t="shared" si="18"/>
        <v>0.0005269999999200081</v>
      </c>
      <c r="G85" s="207">
        <f t="shared" si="18"/>
        <v>1.3</v>
      </c>
      <c r="H85" s="122">
        <f t="shared" si="18"/>
        <v>765.7831319999996</v>
      </c>
      <c r="I85" s="122">
        <f t="shared" si="18"/>
        <v>0</v>
      </c>
      <c r="J85" s="122">
        <f t="shared" si="18"/>
        <v>0.0006679999999619213</v>
      </c>
      <c r="K85" s="122">
        <f t="shared" si="18"/>
        <v>-5</v>
      </c>
      <c r="L85" s="122"/>
      <c r="M85" s="208"/>
      <c r="N85" s="122"/>
      <c r="O85" s="122"/>
      <c r="P85" s="122">
        <v>13623</v>
      </c>
      <c r="Q85" s="201"/>
      <c r="R85" s="201"/>
      <c r="S85" s="201"/>
      <c r="T85" s="46"/>
      <c r="V85" s="181"/>
    </row>
    <row r="86" spans="1:22" ht="24.75" customHeight="1" hidden="1">
      <c r="A86" s="206"/>
      <c r="B86" s="122"/>
      <c r="C86" s="122"/>
      <c r="D86" s="123"/>
      <c r="E86" s="123"/>
      <c r="F86" s="123"/>
      <c r="G86" s="207"/>
      <c r="H86" s="122">
        <v>780</v>
      </c>
      <c r="I86" s="122"/>
      <c r="J86" s="122"/>
      <c r="K86" s="122">
        <f>K80+M80+K83+M83</f>
        <v>-411.42771300000004</v>
      </c>
      <c r="L86" s="122"/>
      <c r="M86" s="208"/>
      <c r="N86" s="122"/>
      <c r="O86" s="122"/>
      <c r="P86" s="122">
        <f>P85+P83</f>
        <v>14662.322235</v>
      </c>
      <c r="Q86" s="201"/>
      <c r="R86" s="201"/>
      <c r="S86" s="201"/>
      <c r="T86" s="46"/>
      <c r="V86" s="181"/>
    </row>
    <row r="87" spans="1:22" ht="24.75" customHeight="1" hidden="1">
      <c r="A87" s="59" t="s">
        <v>110</v>
      </c>
      <c r="B87" s="209">
        <v>7255.46</v>
      </c>
      <c r="C87" s="122">
        <v>3446.08</v>
      </c>
      <c r="D87" s="210">
        <v>4349.92</v>
      </c>
      <c r="E87" s="210">
        <v>127.08</v>
      </c>
      <c r="F87" s="210">
        <v>1416.02</v>
      </c>
      <c r="G87" s="207"/>
      <c r="H87" s="122">
        <f>18240.495-406.457-2.916</f>
        <v>17831.122</v>
      </c>
      <c r="I87" s="122">
        <v>88.5</v>
      </c>
      <c r="J87" s="211">
        <v>295.827</v>
      </c>
      <c r="K87" s="122">
        <f>K80+M80+K83+M83</f>
        <v>-411.42771300000004</v>
      </c>
      <c r="L87" s="122"/>
      <c r="M87" s="208"/>
      <c r="N87" s="122"/>
      <c r="O87" s="122"/>
      <c r="P87" s="122">
        <f>P83-P85</f>
        <v>-12583.677765</v>
      </c>
      <c r="Q87" s="201"/>
      <c r="R87" s="201"/>
      <c r="S87" s="201"/>
      <c r="T87" s="46"/>
      <c r="V87" s="181"/>
    </row>
    <row r="88" spans="1:22" ht="24.75" customHeight="1" hidden="1">
      <c r="A88" s="59" t="s">
        <v>111</v>
      </c>
      <c r="B88" s="209">
        <v>7582.83</v>
      </c>
      <c r="C88" s="122">
        <v>2488.32</v>
      </c>
      <c r="D88" s="210">
        <v>3972.46</v>
      </c>
      <c r="E88" s="210">
        <v>140.23</v>
      </c>
      <c r="F88" s="210">
        <v>1484.56</v>
      </c>
      <c r="G88" s="207">
        <v>1.3</v>
      </c>
      <c r="H88" s="122">
        <f>18277.568-170.002</f>
        <v>18107.566</v>
      </c>
      <c r="I88" s="122">
        <v>88.5</v>
      </c>
      <c r="J88" s="211">
        <v>121.88</v>
      </c>
      <c r="K88" s="122"/>
      <c r="L88" s="122"/>
      <c r="M88" s="122"/>
      <c r="N88" s="122"/>
      <c r="O88" s="122"/>
      <c r="P88" s="122"/>
      <c r="Q88" s="201"/>
      <c r="R88" s="201"/>
      <c r="S88" s="201"/>
      <c r="T88" s="46"/>
      <c r="V88" s="181"/>
    </row>
    <row r="89" spans="1:22" ht="12" customHeight="1" hidden="1">
      <c r="A89" s="206"/>
      <c r="B89" s="209"/>
      <c r="C89" s="122"/>
      <c r="D89" s="210"/>
      <c r="E89" s="210"/>
      <c r="F89" s="210"/>
      <c r="G89" s="207"/>
      <c r="H89" s="122"/>
      <c r="I89" s="122"/>
      <c r="J89" s="211"/>
      <c r="K89" s="122"/>
      <c r="L89" s="122"/>
      <c r="M89" s="208"/>
      <c r="N89" s="122"/>
      <c r="O89" s="122"/>
      <c r="P89" s="122"/>
      <c r="Q89" s="201"/>
      <c r="R89" s="201"/>
      <c r="S89" s="201"/>
      <c r="T89" s="46"/>
      <c r="V89" s="181"/>
    </row>
    <row r="90" spans="1:22" ht="15" customHeight="1" hidden="1" thickBot="1">
      <c r="A90" s="212" t="s">
        <v>109</v>
      </c>
      <c r="B90" s="209">
        <f aca="true" t="shared" si="19" ref="B90:K90">B87-B88</f>
        <v>-327.3699999999999</v>
      </c>
      <c r="C90" s="122">
        <f t="shared" si="19"/>
        <v>957.7599999999998</v>
      </c>
      <c r="D90" s="210">
        <f t="shared" si="19"/>
        <v>377.46000000000004</v>
      </c>
      <c r="E90" s="210">
        <f t="shared" si="19"/>
        <v>-13.149999999999991</v>
      </c>
      <c r="F90" s="210">
        <f t="shared" si="19"/>
        <v>-68.53999999999996</v>
      </c>
      <c r="G90" s="207">
        <f t="shared" si="19"/>
        <v>-1.3</v>
      </c>
      <c r="H90" s="122">
        <f t="shared" si="19"/>
        <v>-276.4439999999995</v>
      </c>
      <c r="I90" s="122">
        <f t="shared" si="19"/>
        <v>0</v>
      </c>
      <c r="J90" s="211">
        <f t="shared" si="19"/>
        <v>173.947</v>
      </c>
      <c r="K90" s="122">
        <f t="shared" si="19"/>
        <v>-411.42771300000004</v>
      </c>
      <c r="L90" s="122"/>
      <c r="M90" s="208"/>
      <c r="N90" s="122"/>
      <c r="O90" s="122"/>
      <c r="P90" s="122"/>
      <c r="Q90" s="201"/>
      <c r="R90" s="201"/>
      <c r="S90" s="201"/>
      <c r="T90" s="46"/>
      <c r="V90" s="181"/>
    </row>
    <row r="91" spans="1:22" ht="12" customHeight="1" hidden="1" thickTop="1">
      <c r="A91" s="2"/>
      <c r="B91" s="122"/>
      <c r="C91" s="122"/>
      <c r="D91" s="123"/>
      <c r="E91" s="123"/>
      <c r="F91" s="123"/>
      <c r="G91" s="207"/>
      <c r="H91" s="122"/>
      <c r="I91" s="122"/>
      <c r="J91" s="122"/>
      <c r="K91" s="122"/>
      <c r="L91" s="122"/>
      <c r="M91" s="208"/>
      <c r="N91" s="122"/>
      <c r="O91" s="122"/>
      <c r="P91" s="122"/>
      <c r="Q91" s="201"/>
      <c r="R91" s="201"/>
      <c r="S91" s="201"/>
      <c r="T91" s="46"/>
      <c r="V91" s="181"/>
    </row>
    <row r="92" spans="1:22" ht="12" customHeight="1" hidden="1">
      <c r="A92" s="206"/>
      <c r="B92" s="122">
        <f>B90+C90+D90+E90+F90</f>
        <v>926.16</v>
      </c>
      <c r="C92" s="122"/>
      <c r="D92" s="123"/>
      <c r="E92" s="123"/>
      <c r="F92" s="123"/>
      <c r="G92" s="207"/>
      <c r="H92" s="122"/>
      <c r="I92" s="122"/>
      <c r="J92" s="122"/>
      <c r="K92" s="122"/>
      <c r="L92" s="122"/>
      <c r="M92" s="208"/>
      <c r="N92" s="122"/>
      <c r="O92" s="122"/>
      <c r="P92" s="122"/>
      <c r="Q92" s="201"/>
      <c r="R92" s="201"/>
      <c r="S92" s="201"/>
      <c r="T92" s="46"/>
      <c r="V92" s="181"/>
    </row>
    <row r="93" spans="1:22" ht="30" customHeight="1" hidden="1">
      <c r="A93" s="206" t="s">
        <v>112</v>
      </c>
      <c r="B93" s="122">
        <f aca="true" t="shared" si="20" ref="B93:Q93">B83-B90</f>
        <v>-197.70757100000083</v>
      </c>
      <c r="C93" s="122">
        <f t="shared" si="20"/>
        <v>-281.9437720000001</v>
      </c>
      <c r="D93" s="123">
        <f t="shared" si="20"/>
        <v>1.485133999999107</v>
      </c>
      <c r="E93" s="123">
        <f t="shared" si="20"/>
        <v>2.1200789999999614</v>
      </c>
      <c r="F93" s="123">
        <f t="shared" si="20"/>
        <v>0.0005269999999200081</v>
      </c>
      <c r="G93" s="207">
        <f t="shared" si="20"/>
        <v>1.3</v>
      </c>
      <c r="H93" s="122">
        <f t="shared" si="20"/>
        <v>765.7831319999996</v>
      </c>
      <c r="I93" s="122">
        <f t="shared" si="20"/>
        <v>0</v>
      </c>
      <c r="J93" s="122">
        <f t="shared" si="20"/>
        <v>0.0006679999999619213</v>
      </c>
      <c r="K93" s="122">
        <f t="shared" si="20"/>
        <v>-5</v>
      </c>
      <c r="L93" s="122">
        <f t="shared" si="20"/>
        <v>696.973483999998</v>
      </c>
      <c r="M93" s="122">
        <f t="shared" si="20"/>
        <v>0</v>
      </c>
      <c r="N93" s="122">
        <f t="shared" si="20"/>
        <v>696.9734839999983</v>
      </c>
      <c r="O93" s="122">
        <f t="shared" si="20"/>
        <v>342.34875100000005</v>
      </c>
      <c r="P93" s="122">
        <f t="shared" si="20"/>
        <v>1039.3222349999996</v>
      </c>
      <c r="Q93" s="122">
        <f t="shared" si="20"/>
        <v>0.16674510428365147</v>
      </c>
      <c r="R93" s="201"/>
      <c r="S93" s="201"/>
      <c r="T93" s="46"/>
      <c r="V93" s="181"/>
    </row>
    <row r="94" spans="1:22" ht="12" customHeight="1" hidden="1">
      <c r="A94" s="206"/>
      <c r="B94" s="122"/>
      <c r="C94" s="122"/>
      <c r="D94" s="123"/>
      <c r="E94" s="123"/>
      <c r="F94" s="123"/>
      <c r="G94" s="207"/>
      <c r="H94" s="122"/>
      <c r="I94" s="122"/>
      <c r="J94" s="122"/>
      <c r="K94" s="122"/>
      <c r="L94" s="122"/>
      <c r="M94" s="208"/>
      <c r="N94" s="122"/>
      <c r="O94" s="122"/>
      <c r="P94" s="122"/>
      <c r="Q94" s="201"/>
      <c r="R94" s="201"/>
      <c r="S94" s="201"/>
      <c r="T94" s="46"/>
      <c r="V94" s="181"/>
    </row>
    <row r="95" spans="1:22" ht="15.75" customHeight="1" hidden="1">
      <c r="A95" s="213"/>
      <c r="B95" s="122">
        <f>40881.472-11682.041+15924+612.739</f>
        <v>45736.170000000006</v>
      </c>
      <c r="C95" s="122"/>
      <c r="D95" s="123"/>
      <c r="E95" s="123"/>
      <c r="F95" s="123"/>
      <c r="G95" s="207"/>
      <c r="H95" s="122">
        <v>8968.66</v>
      </c>
      <c r="I95" s="122">
        <f>60.8</f>
        <v>60.8</v>
      </c>
      <c r="J95" s="122">
        <f>H95+I95</f>
        <v>9029.46</v>
      </c>
      <c r="K95" s="122">
        <f>K80+M80+K83+M83</f>
        <v>-411.42771300000004</v>
      </c>
      <c r="L95" s="122"/>
      <c r="M95" s="208"/>
      <c r="N95" s="122"/>
      <c r="O95" s="122"/>
      <c r="P95" s="122"/>
      <c r="Q95" s="214"/>
      <c r="R95" s="201"/>
      <c r="S95" s="201"/>
      <c r="T95" s="46"/>
      <c r="V95" s="181"/>
    </row>
    <row r="96" spans="1:22" ht="16.5" customHeight="1" hidden="1">
      <c r="A96" s="215"/>
      <c r="B96" s="122"/>
      <c r="C96" s="122"/>
      <c r="D96" s="123"/>
      <c r="E96" s="123"/>
      <c r="F96" s="123"/>
      <c r="G96" s="207"/>
      <c r="H96" s="122">
        <v>8523.036</v>
      </c>
      <c r="I96" s="122"/>
      <c r="J96" s="122">
        <f>H96</f>
        <v>8523.036</v>
      </c>
      <c r="K96" s="122"/>
      <c r="L96" s="122"/>
      <c r="M96" s="208"/>
      <c r="N96" s="122"/>
      <c r="O96" s="122"/>
      <c r="P96" s="122"/>
      <c r="Q96" s="201"/>
      <c r="R96" s="201"/>
      <c r="S96" s="201"/>
      <c r="T96" s="46">
        <f>L83+O83</f>
        <v>1039.322234999998</v>
      </c>
      <c r="V96" s="181"/>
    </row>
    <row r="97" spans="1:22" ht="16.5" customHeight="1" hidden="1">
      <c r="A97" s="215"/>
      <c r="B97" s="122"/>
      <c r="C97" s="122"/>
      <c r="D97" s="123"/>
      <c r="E97" s="123"/>
      <c r="F97" s="123"/>
      <c r="G97" s="207"/>
      <c r="H97" s="122">
        <f>H95-H96</f>
        <v>445.6239999999998</v>
      </c>
      <c r="I97" s="122"/>
      <c r="J97" s="122">
        <f>J95-J96</f>
        <v>506.42399999999907</v>
      </c>
      <c r="K97" s="122"/>
      <c r="L97" s="122"/>
      <c r="M97" s="208"/>
      <c r="N97" s="122"/>
      <c r="O97" s="122"/>
      <c r="P97" s="122"/>
      <c r="Q97" s="201"/>
      <c r="R97" s="201"/>
      <c r="S97" s="201"/>
      <c r="T97" s="46"/>
      <c r="V97" s="181"/>
    </row>
    <row r="98" spans="1:22" ht="10.5" customHeight="1" hidden="1">
      <c r="A98" s="215"/>
      <c r="B98" s="108"/>
      <c r="C98" s="108"/>
      <c r="D98" s="123"/>
      <c r="E98" s="123"/>
      <c r="F98" s="123"/>
      <c r="G98" s="207"/>
      <c r="H98" s="122"/>
      <c r="I98" s="122"/>
      <c r="J98" s="122"/>
      <c r="K98" s="122">
        <f>K83+M83+K80+M80</f>
        <v>-411.42771300000004</v>
      </c>
      <c r="L98" s="122"/>
      <c r="M98" s="208"/>
      <c r="N98" s="122"/>
      <c r="O98" s="122"/>
      <c r="P98" s="122"/>
      <c r="Q98" s="201"/>
      <c r="R98" s="201"/>
      <c r="S98" s="201"/>
      <c r="T98" s="46"/>
      <c r="V98" s="181"/>
    </row>
    <row r="99" spans="1:22" ht="12" customHeight="1" hidden="1" thickBot="1">
      <c r="A99" s="215"/>
      <c r="B99" s="122"/>
      <c r="C99" s="122"/>
      <c r="D99" s="123"/>
      <c r="E99" s="123"/>
      <c r="F99" s="123"/>
      <c r="G99" s="207"/>
      <c r="H99" s="122">
        <f>H83-H97</f>
        <v>43.71513200000027</v>
      </c>
      <c r="I99" s="122"/>
      <c r="J99" s="122"/>
      <c r="K99" s="122"/>
      <c r="L99" s="122"/>
      <c r="M99" s="208"/>
      <c r="N99" s="122"/>
      <c r="O99" s="122"/>
      <c r="P99" s="122"/>
      <c r="Q99" s="201"/>
      <c r="R99" s="201"/>
      <c r="S99" s="201"/>
      <c r="T99" s="46"/>
      <c r="V99" s="181"/>
    </row>
    <row r="100" spans="1:22" ht="30.75" customHeight="1" hidden="1" thickTop="1">
      <c r="A100" s="231"/>
      <c r="B100" s="232"/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232"/>
      <c r="Q100" s="232"/>
      <c r="R100" s="216"/>
      <c r="S100" s="216"/>
      <c r="V100" s="181"/>
    </row>
    <row r="101" spans="1:22" ht="23.25" customHeight="1" hidden="1">
      <c r="A101" s="215"/>
      <c r="B101" s="217">
        <v>84750.93</v>
      </c>
      <c r="C101" s="216"/>
      <c r="D101" s="218">
        <v>47111.26</v>
      </c>
      <c r="E101" s="217">
        <v>1799.922</v>
      </c>
      <c r="F101" s="217">
        <v>17579.66</v>
      </c>
      <c r="G101" s="219"/>
      <c r="H101" s="220"/>
      <c r="I101" s="216"/>
      <c r="J101" s="216">
        <v>1044.75</v>
      </c>
      <c r="K101" s="221"/>
      <c r="L101" s="216"/>
      <c r="M101" s="216"/>
      <c r="N101" s="216"/>
      <c r="O101" s="216"/>
      <c r="P101" s="216"/>
      <c r="Q101" s="216"/>
      <c r="R101" s="216"/>
      <c r="S101" s="216"/>
      <c r="V101" s="181"/>
    </row>
    <row r="102" spans="1:22" ht="13.5" customHeight="1" hidden="1" outlineLevel="1">
      <c r="A102" s="206"/>
      <c r="B102" s="222"/>
      <c r="C102" s="122"/>
      <c r="D102" s="123"/>
      <c r="E102" s="222"/>
      <c r="F102" s="222"/>
      <c r="G102" s="207"/>
      <c r="H102" s="220"/>
      <c r="I102" s="122"/>
      <c r="J102" s="122"/>
      <c r="K102" s="122"/>
      <c r="L102" s="122"/>
      <c r="M102" s="122"/>
      <c r="N102" s="122"/>
      <c r="O102" s="122"/>
      <c r="P102" s="122"/>
      <c r="Q102" s="214"/>
      <c r="R102" s="214"/>
      <c r="S102" s="214"/>
      <c r="V102" s="181"/>
    </row>
    <row r="103" spans="1:22" ht="18.75" customHeight="1" hidden="1" outlineLevel="1">
      <c r="A103" s="206"/>
      <c r="B103" s="222"/>
      <c r="C103" s="122"/>
      <c r="D103" s="123">
        <f>756.43</f>
        <v>756.43</v>
      </c>
      <c r="E103" s="222"/>
      <c r="F103" s="222"/>
      <c r="G103" s="207"/>
      <c r="H103" s="220"/>
      <c r="I103" s="122"/>
      <c r="J103" s="122"/>
      <c r="K103" s="122"/>
      <c r="L103" s="122"/>
      <c r="M103" s="122"/>
      <c r="N103" s="122"/>
      <c r="O103" s="122"/>
      <c r="P103" s="122"/>
      <c r="Q103" s="214"/>
      <c r="R103" s="214"/>
      <c r="S103" s="214"/>
      <c r="V103" s="181"/>
    </row>
    <row r="104" spans="1:22" ht="18.75" customHeight="1" hidden="1" outlineLevel="1">
      <c r="A104" s="206"/>
      <c r="B104" s="222"/>
      <c r="C104" s="122"/>
      <c r="D104" s="123"/>
      <c r="E104" s="222"/>
      <c r="F104" s="222"/>
      <c r="G104" s="207"/>
      <c r="H104" s="122"/>
      <c r="I104" s="122"/>
      <c r="J104" s="122"/>
      <c r="K104" s="122"/>
      <c r="L104" s="122"/>
      <c r="M104" s="122"/>
      <c r="N104" s="122"/>
      <c r="O104" s="122"/>
      <c r="P104" s="122"/>
      <c r="Q104" s="214"/>
      <c r="R104" s="214"/>
      <c r="S104" s="214"/>
      <c r="V104" s="181"/>
    </row>
    <row r="105" spans="1:22" ht="18.75" customHeight="1" hidden="1" outlineLevel="1">
      <c r="A105" s="206"/>
      <c r="B105" s="222">
        <f>86013.44-85988.55</f>
        <v>24.889999999999418</v>
      </c>
      <c r="C105" s="122"/>
      <c r="D105" s="123"/>
      <c r="E105" s="222"/>
      <c r="F105" s="222"/>
      <c r="G105" s="207"/>
      <c r="H105" s="122"/>
      <c r="I105" s="122"/>
      <c r="J105" s="122"/>
      <c r="K105" s="122"/>
      <c r="L105" s="122"/>
      <c r="M105" s="122"/>
      <c r="N105" s="122"/>
      <c r="O105" s="122"/>
      <c r="P105" s="122"/>
      <c r="Q105" s="214"/>
      <c r="R105" s="214"/>
      <c r="S105" s="214"/>
      <c r="V105" s="181"/>
    </row>
    <row r="106" spans="1:22" ht="18.75" customHeight="1" hidden="1" outlineLevel="1">
      <c r="A106" s="206"/>
      <c r="B106" s="222"/>
      <c r="C106" s="122"/>
      <c r="D106" s="123">
        <f>49036.2+18359.42+1875.27+462.8</f>
        <v>69733.69</v>
      </c>
      <c r="E106" s="222">
        <f>48766.58+18327.71+1871.86+758.53</f>
        <v>69724.68000000001</v>
      </c>
      <c r="F106" s="222">
        <f>D106-E106</f>
        <v>9.009999999994761</v>
      </c>
      <c r="G106" s="207"/>
      <c r="H106" s="122"/>
      <c r="I106" s="122"/>
      <c r="J106" s="122"/>
      <c r="K106" s="122">
        <f>K83+M83+K80+M80</f>
        <v>-411.42771300000004</v>
      </c>
      <c r="L106" s="122"/>
      <c r="M106" s="122"/>
      <c r="N106" s="122"/>
      <c r="O106" s="122"/>
      <c r="P106" s="122"/>
      <c r="Q106" s="214"/>
      <c r="R106" s="214"/>
      <c r="S106" s="214"/>
      <c r="V106" s="181"/>
    </row>
    <row r="107" spans="1:22" ht="22.5" customHeight="1" hidden="1" outlineLevel="1">
      <c r="A107" s="206"/>
      <c r="B107" s="222"/>
      <c r="C107" s="122"/>
      <c r="D107" s="123"/>
      <c r="E107" s="222"/>
      <c r="F107" s="222"/>
      <c r="G107" s="207"/>
      <c r="H107" s="122"/>
      <c r="I107" s="122"/>
      <c r="J107" s="122"/>
      <c r="K107" s="122"/>
      <c r="L107" s="122"/>
      <c r="M107" s="122"/>
      <c r="N107" s="122"/>
      <c r="O107" s="122"/>
      <c r="P107" s="122"/>
      <c r="Q107" s="214"/>
      <c r="R107" s="214"/>
      <c r="S107" s="214"/>
      <c r="V107" s="181"/>
    </row>
    <row r="108" spans="1:22" ht="15.75" hidden="1">
      <c r="A108" s="223"/>
      <c r="B108" s="222"/>
      <c r="C108" s="122"/>
      <c r="D108" s="123"/>
      <c r="E108" s="222"/>
      <c r="F108" s="222">
        <f>639.36+487.9</f>
        <v>1127.26</v>
      </c>
      <c r="G108" s="207"/>
      <c r="H108" s="122"/>
      <c r="I108" s="122"/>
      <c r="J108" s="122"/>
      <c r="K108" s="224"/>
      <c r="L108" s="122"/>
      <c r="M108" s="122"/>
      <c r="N108" s="122"/>
      <c r="O108" s="122"/>
      <c r="P108" s="122"/>
      <c r="Q108" s="201"/>
      <c r="R108" s="201"/>
      <c r="S108" s="201"/>
      <c r="V108" s="181"/>
    </row>
    <row r="109" spans="1:22" ht="16.5" thickTop="1">
      <c r="A109" s="225"/>
      <c r="B109" s="222"/>
      <c r="C109" s="222"/>
      <c r="D109" s="222"/>
      <c r="E109" s="222"/>
      <c r="F109" s="222"/>
      <c r="G109" s="222"/>
      <c r="H109" s="222"/>
      <c r="I109" s="222"/>
      <c r="J109" s="222"/>
      <c r="K109" s="224"/>
      <c r="L109" s="122"/>
      <c r="M109" s="122"/>
      <c r="N109" s="122"/>
      <c r="O109" s="122"/>
      <c r="P109" s="122"/>
      <c r="Q109" s="201"/>
      <c r="R109" s="201"/>
      <c r="S109" s="201"/>
      <c r="V109" s="181"/>
    </row>
    <row r="110" spans="1:22" ht="15.75">
      <c r="A110" s="225"/>
      <c r="B110" s="122"/>
      <c r="C110" s="122"/>
      <c r="D110" s="123"/>
      <c r="E110" s="123"/>
      <c r="F110" s="123"/>
      <c r="G110" s="123"/>
      <c r="H110" s="122"/>
      <c r="I110" s="122"/>
      <c r="J110" s="122"/>
      <c r="K110" s="224">
        <f>K83+K80+M80+M83</f>
        <v>-411.42771300000004</v>
      </c>
      <c r="L110" s="122"/>
      <c r="M110" s="122"/>
      <c r="N110" s="122"/>
      <c r="O110" s="122"/>
      <c r="P110" s="122"/>
      <c r="Q110" s="201"/>
      <c r="R110" s="201"/>
      <c r="S110" s="201"/>
      <c r="V110" s="181"/>
    </row>
    <row r="111" spans="1:22" ht="21.75" customHeight="1">
      <c r="A111" s="206"/>
      <c r="B111" s="122"/>
      <c r="C111" s="122"/>
      <c r="D111" s="123"/>
      <c r="E111" s="123"/>
      <c r="F111" s="123"/>
      <c r="G111" s="123"/>
      <c r="H111" s="122"/>
      <c r="I111" s="122"/>
      <c r="J111" s="122"/>
      <c r="K111" s="122"/>
      <c r="L111" s="122"/>
      <c r="M111" s="122"/>
      <c r="N111" s="122"/>
      <c r="O111" s="122"/>
      <c r="P111" s="122"/>
      <c r="Q111" s="201"/>
      <c r="R111" s="201"/>
      <c r="S111" s="201"/>
      <c r="U111" s="122"/>
      <c r="V111" s="181"/>
    </row>
    <row r="112" spans="1:22" ht="24.75" customHeight="1">
      <c r="A112" s="206"/>
      <c r="B112" s="122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201"/>
      <c r="R112" s="201"/>
      <c r="S112" s="201"/>
      <c r="V112" s="181"/>
    </row>
    <row r="113" spans="2:19" ht="19.5" customHeight="1">
      <c r="B113" s="128"/>
      <c r="C113" s="226"/>
      <c r="D113" s="94"/>
      <c r="E113" s="94"/>
      <c r="F113" s="94"/>
      <c r="G113" s="94"/>
      <c r="I113" s="128"/>
      <c r="J113" s="128"/>
      <c r="K113" s="128"/>
      <c r="L113" s="227"/>
      <c r="M113" s="128"/>
      <c r="N113" s="227"/>
      <c r="O113" s="128"/>
      <c r="P113" s="227"/>
      <c r="Q113" s="228"/>
      <c r="R113" s="228"/>
      <c r="S113" s="228"/>
    </row>
    <row r="114" spans="2:19" ht="19.5" customHeight="1">
      <c r="B114" s="128"/>
      <c r="C114" s="226"/>
      <c r="D114" s="94"/>
      <c r="E114" s="94"/>
      <c r="F114" s="94"/>
      <c r="G114" s="94"/>
      <c r="H114" s="128"/>
      <c r="I114" s="128"/>
      <c r="J114" s="128"/>
      <c r="K114" s="128"/>
      <c r="L114" s="227"/>
      <c r="M114" s="128"/>
      <c r="N114" s="227"/>
      <c r="O114" s="128"/>
      <c r="P114" s="227"/>
      <c r="Q114" s="228"/>
      <c r="R114" s="228"/>
      <c r="S114" s="228"/>
    </row>
    <row r="115" spans="2:19" ht="19.5" customHeight="1">
      <c r="B115" s="128"/>
      <c r="C115" s="226"/>
      <c r="D115" s="94"/>
      <c r="E115" s="94"/>
      <c r="F115" s="94"/>
      <c r="G115" s="94"/>
      <c r="H115" s="128"/>
      <c r="I115" s="128"/>
      <c r="J115" s="128"/>
      <c r="K115" s="128"/>
      <c r="L115" s="227"/>
      <c r="M115" s="128"/>
      <c r="N115" s="227"/>
      <c r="O115" s="128"/>
      <c r="P115" s="227"/>
      <c r="Q115" s="228"/>
      <c r="R115" s="228"/>
      <c r="S115" s="228"/>
    </row>
    <row r="116" spans="2:19" ht="19.5" customHeight="1">
      <c r="B116" s="128"/>
      <c r="C116" s="226"/>
      <c r="D116" s="94"/>
      <c r="E116" s="94"/>
      <c r="F116" s="94"/>
      <c r="G116" s="94"/>
      <c r="H116" s="128"/>
      <c r="I116" s="128"/>
      <c r="J116" s="128"/>
      <c r="K116" s="128"/>
      <c r="L116" s="227"/>
      <c r="M116" s="128"/>
      <c r="N116" s="227"/>
      <c r="O116" s="128"/>
      <c r="P116" s="227"/>
      <c r="Q116" s="228"/>
      <c r="R116" s="228"/>
      <c r="S116" s="228"/>
    </row>
    <row r="117" spans="2:19" ht="19.5" customHeight="1">
      <c r="B117" s="128"/>
      <c r="C117" s="226"/>
      <c r="D117" s="94"/>
      <c r="E117" s="94"/>
      <c r="F117" s="94"/>
      <c r="G117" s="94"/>
      <c r="H117" s="128"/>
      <c r="I117" s="128"/>
      <c r="J117" s="128"/>
      <c r="K117" s="128"/>
      <c r="L117" s="227"/>
      <c r="M117" s="128"/>
      <c r="N117" s="227"/>
      <c r="O117" s="128"/>
      <c r="P117" s="227"/>
      <c r="Q117" s="228"/>
      <c r="R117" s="228"/>
      <c r="S117" s="228"/>
    </row>
    <row r="118" spans="2:19" ht="19.5" customHeight="1">
      <c r="B118" s="128"/>
      <c r="C118" s="226"/>
      <c r="D118" s="94"/>
      <c r="E118" s="94"/>
      <c r="F118" s="94"/>
      <c r="G118" s="94"/>
      <c r="H118" s="128"/>
      <c r="I118" s="128"/>
      <c r="J118" s="128"/>
      <c r="K118" s="128"/>
      <c r="L118" s="227"/>
      <c r="M118" s="128"/>
      <c r="N118" s="227"/>
      <c r="O118" s="128"/>
      <c r="P118" s="227"/>
      <c r="Q118" s="228"/>
      <c r="R118" s="228"/>
      <c r="S118" s="228"/>
    </row>
    <row r="119" spans="2:19" ht="19.5" customHeight="1">
      <c r="B119" s="128"/>
      <c r="C119" s="226"/>
      <c r="D119" s="94"/>
      <c r="E119" s="94"/>
      <c r="F119" s="94"/>
      <c r="G119" s="94"/>
      <c r="H119" s="128"/>
      <c r="I119" s="128"/>
      <c r="J119" s="128"/>
      <c r="K119" s="128"/>
      <c r="L119" s="227"/>
      <c r="M119" s="128"/>
      <c r="N119" s="227"/>
      <c r="O119" s="128"/>
      <c r="P119" s="227"/>
      <c r="Q119" s="228"/>
      <c r="R119" s="228"/>
      <c r="S119" s="228"/>
    </row>
    <row r="120" spans="2:19" ht="19.5" customHeight="1">
      <c r="B120" s="128"/>
      <c r="C120" s="226"/>
      <c r="D120" s="94"/>
      <c r="E120" s="94"/>
      <c r="F120" s="94"/>
      <c r="G120" s="94"/>
      <c r="H120" s="128"/>
      <c r="I120" s="128"/>
      <c r="J120" s="128"/>
      <c r="K120" s="128"/>
      <c r="L120" s="227"/>
      <c r="M120" s="128"/>
      <c r="N120" s="227"/>
      <c r="O120" s="128"/>
      <c r="P120" s="227"/>
      <c r="Q120" s="228"/>
      <c r="R120" s="228"/>
      <c r="S120" s="228"/>
    </row>
    <row r="121" spans="2:19" ht="19.5" customHeight="1">
      <c r="B121" s="128"/>
      <c r="C121" s="226"/>
      <c r="D121" s="94"/>
      <c r="E121" s="94"/>
      <c r="F121" s="94"/>
      <c r="G121" s="94"/>
      <c r="H121" s="128"/>
      <c r="I121" s="128"/>
      <c r="J121" s="128"/>
      <c r="K121" s="128"/>
      <c r="L121" s="227"/>
      <c r="M121" s="128"/>
      <c r="N121" s="227"/>
      <c r="O121" s="128"/>
      <c r="P121" s="227"/>
      <c r="Q121" s="228"/>
      <c r="R121" s="228"/>
      <c r="S121" s="228"/>
    </row>
    <row r="122" spans="2:19" ht="19.5" customHeight="1">
      <c r="B122" s="128"/>
      <c r="C122" s="226"/>
      <c r="D122" s="94"/>
      <c r="E122" s="94"/>
      <c r="F122" s="94"/>
      <c r="G122" s="94"/>
      <c r="H122" s="128"/>
      <c r="I122" s="128"/>
      <c r="J122" s="128"/>
      <c r="K122" s="128"/>
      <c r="L122" s="227"/>
      <c r="M122" s="128"/>
      <c r="N122" s="227"/>
      <c r="O122" s="128"/>
      <c r="P122" s="227"/>
      <c r="Q122" s="228"/>
      <c r="R122" s="228"/>
      <c r="S122" s="228"/>
    </row>
    <row r="123" spans="2:19" ht="19.5" customHeight="1">
      <c r="B123" s="128"/>
      <c r="C123" s="226"/>
      <c r="D123" s="94"/>
      <c r="E123" s="94"/>
      <c r="F123" s="94"/>
      <c r="G123" s="94"/>
      <c r="H123" s="128"/>
      <c r="I123" s="128"/>
      <c r="J123" s="128"/>
      <c r="K123" s="128"/>
      <c r="L123" s="227"/>
      <c r="M123" s="128"/>
      <c r="N123" s="227"/>
      <c r="O123" s="128"/>
      <c r="P123" s="227"/>
      <c r="Q123" s="228"/>
      <c r="R123" s="228"/>
      <c r="S123" s="228"/>
    </row>
    <row r="124" spans="2:19" ht="19.5" customHeight="1">
      <c r="B124" s="128"/>
      <c r="C124" s="226"/>
      <c r="D124" s="94"/>
      <c r="E124" s="94"/>
      <c r="F124" s="94"/>
      <c r="G124" s="94"/>
      <c r="H124" s="128"/>
      <c r="I124" s="128"/>
      <c r="J124" s="128"/>
      <c r="K124" s="128"/>
      <c r="L124" s="227"/>
      <c r="M124" s="128"/>
      <c r="N124" s="227"/>
      <c r="O124" s="128"/>
      <c r="P124" s="227"/>
      <c r="Q124" s="228"/>
      <c r="R124" s="228"/>
      <c r="S124" s="228"/>
    </row>
    <row r="125" spans="2:19" ht="19.5" customHeight="1">
      <c r="B125" s="128"/>
      <c r="C125" s="226"/>
      <c r="D125" s="94"/>
      <c r="E125" s="94"/>
      <c r="F125" s="94"/>
      <c r="G125" s="94"/>
      <c r="H125" s="128"/>
      <c r="I125" s="128"/>
      <c r="J125" s="128"/>
      <c r="K125" s="128"/>
      <c r="L125" s="227"/>
      <c r="M125" s="128"/>
      <c r="N125" s="227"/>
      <c r="O125" s="128"/>
      <c r="P125" s="227"/>
      <c r="Q125" s="228"/>
      <c r="R125" s="228"/>
      <c r="S125" s="228"/>
    </row>
    <row r="126" spans="2:19" ht="19.5" customHeight="1">
      <c r="B126" s="128"/>
      <c r="C126" s="226"/>
      <c r="D126" s="94"/>
      <c r="E126" s="94"/>
      <c r="F126" s="94"/>
      <c r="G126" s="94"/>
      <c r="H126" s="128"/>
      <c r="I126" s="128"/>
      <c r="J126" s="128"/>
      <c r="K126" s="128"/>
      <c r="L126" s="227"/>
      <c r="M126" s="128"/>
      <c r="N126" s="227"/>
      <c r="O126" s="128"/>
      <c r="P126" s="227"/>
      <c r="Q126" s="228"/>
      <c r="R126" s="228"/>
      <c r="S126" s="228"/>
    </row>
    <row r="127" spans="2:19" ht="19.5" customHeight="1">
      <c r="B127" s="128"/>
      <c r="C127" s="226"/>
      <c r="D127" s="94"/>
      <c r="E127" s="94"/>
      <c r="F127" s="94"/>
      <c r="G127" s="94"/>
      <c r="H127" s="128"/>
      <c r="I127" s="128"/>
      <c r="J127" s="128"/>
      <c r="K127" s="128"/>
      <c r="L127" s="227"/>
      <c r="M127" s="128"/>
      <c r="N127" s="227"/>
      <c r="O127" s="128"/>
      <c r="P127" s="227"/>
      <c r="Q127" s="228"/>
      <c r="R127" s="228"/>
      <c r="S127" s="228"/>
    </row>
    <row r="128" spans="2:19" ht="19.5" customHeight="1">
      <c r="B128" s="128"/>
      <c r="C128" s="226"/>
      <c r="D128" s="94"/>
      <c r="E128" s="94"/>
      <c r="F128" s="94"/>
      <c r="G128" s="94"/>
      <c r="H128" s="128"/>
      <c r="I128" s="128"/>
      <c r="J128" s="128"/>
      <c r="K128" s="128"/>
      <c r="L128" s="227"/>
      <c r="M128" s="128"/>
      <c r="N128" s="227"/>
      <c r="O128" s="128"/>
      <c r="P128" s="227"/>
      <c r="Q128" s="228"/>
      <c r="R128" s="228"/>
      <c r="S128" s="228"/>
    </row>
    <row r="129" spans="2:19" ht="19.5" customHeight="1">
      <c r="B129" s="128"/>
      <c r="C129" s="226"/>
      <c r="D129" s="94"/>
      <c r="E129" s="94"/>
      <c r="F129" s="94"/>
      <c r="G129" s="94"/>
      <c r="H129" s="128"/>
      <c r="I129" s="128"/>
      <c r="J129" s="128"/>
      <c r="K129" s="128"/>
      <c r="L129" s="227"/>
      <c r="M129" s="128"/>
      <c r="N129" s="227"/>
      <c r="O129" s="128"/>
      <c r="P129" s="227"/>
      <c r="Q129" s="228"/>
      <c r="R129" s="228"/>
      <c r="S129" s="228"/>
    </row>
    <row r="130" spans="2:19" ht="19.5" customHeight="1">
      <c r="B130" s="128"/>
      <c r="C130" s="226"/>
      <c r="D130" s="94"/>
      <c r="E130" s="94"/>
      <c r="F130" s="94"/>
      <c r="G130" s="94"/>
      <c r="H130" s="128"/>
      <c r="I130" s="128"/>
      <c r="J130" s="128"/>
      <c r="K130" s="128"/>
      <c r="L130" s="227"/>
      <c r="M130" s="128"/>
      <c r="N130" s="227"/>
      <c r="O130" s="128"/>
      <c r="P130" s="227"/>
      <c r="Q130" s="228"/>
      <c r="R130" s="228"/>
      <c r="S130" s="228"/>
    </row>
    <row r="131" spans="2:19" ht="19.5" customHeight="1">
      <c r="B131" s="128"/>
      <c r="C131" s="226"/>
      <c r="D131" s="94"/>
      <c r="E131" s="94"/>
      <c r="F131" s="94"/>
      <c r="G131" s="94"/>
      <c r="H131" s="128"/>
      <c r="I131" s="128"/>
      <c r="J131" s="128"/>
      <c r="K131" s="128"/>
      <c r="L131" s="227"/>
      <c r="M131" s="128"/>
      <c r="N131" s="227"/>
      <c r="O131" s="128"/>
      <c r="P131" s="227"/>
      <c r="Q131" s="228"/>
      <c r="R131" s="228"/>
      <c r="S131" s="228"/>
    </row>
    <row r="132" spans="2:19" ht="19.5" customHeight="1">
      <c r="B132" s="128"/>
      <c r="C132" s="226"/>
      <c r="D132" s="94"/>
      <c r="E132" s="94"/>
      <c r="F132" s="94"/>
      <c r="G132" s="94"/>
      <c r="H132" s="128"/>
      <c r="I132" s="128"/>
      <c r="J132" s="128"/>
      <c r="K132" s="128"/>
      <c r="L132" s="227"/>
      <c r="M132" s="128"/>
      <c r="N132" s="227"/>
      <c r="O132" s="128"/>
      <c r="P132" s="227"/>
      <c r="Q132" s="228"/>
      <c r="R132" s="228"/>
      <c r="S132" s="228"/>
    </row>
    <row r="133" spans="2:19" ht="19.5" customHeight="1">
      <c r="B133" s="128"/>
      <c r="C133" s="226"/>
      <c r="D133" s="94"/>
      <c r="E133" s="94"/>
      <c r="F133" s="94"/>
      <c r="G133" s="94"/>
      <c r="H133" s="128"/>
      <c r="I133" s="128"/>
      <c r="J133" s="128"/>
      <c r="K133" s="128"/>
      <c r="L133" s="227"/>
      <c r="M133" s="128"/>
      <c r="N133" s="227"/>
      <c r="O133" s="128"/>
      <c r="P133" s="227"/>
      <c r="Q133" s="228"/>
      <c r="R133" s="228"/>
      <c r="S133" s="228"/>
    </row>
    <row r="134" spans="2:19" ht="19.5" customHeight="1">
      <c r="B134" s="128"/>
      <c r="C134" s="226"/>
      <c r="D134" s="94"/>
      <c r="E134" s="94"/>
      <c r="F134" s="94"/>
      <c r="G134" s="94"/>
      <c r="H134" s="128"/>
      <c r="I134" s="128"/>
      <c r="J134" s="128"/>
      <c r="K134" s="128"/>
      <c r="L134" s="227"/>
      <c r="M134" s="128"/>
      <c r="N134" s="227"/>
      <c r="O134" s="128"/>
      <c r="P134" s="227"/>
      <c r="Q134" s="228"/>
      <c r="R134" s="228"/>
      <c r="S134" s="228"/>
    </row>
    <row r="135" spans="2:19" ht="19.5" customHeight="1">
      <c r="B135" s="128"/>
      <c r="C135" s="226"/>
      <c r="D135" s="94"/>
      <c r="E135" s="94"/>
      <c r="F135" s="94"/>
      <c r="G135" s="94"/>
      <c r="H135" s="128"/>
      <c r="I135" s="128"/>
      <c r="J135" s="128"/>
      <c r="K135" s="128"/>
      <c r="L135" s="227"/>
      <c r="M135" s="128"/>
      <c r="N135" s="227"/>
      <c r="O135" s="128"/>
      <c r="P135" s="227"/>
      <c r="Q135" s="228"/>
      <c r="R135" s="228"/>
      <c r="S135" s="228"/>
    </row>
    <row r="136" spans="2:19" ht="19.5" customHeight="1">
      <c r="B136" s="128"/>
      <c r="C136" s="226"/>
      <c r="D136" s="94"/>
      <c r="E136" s="94"/>
      <c r="F136" s="94"/>
      <c r="G136" s="94"/>
      <c r="H136" s="128"/>
      <c r="I136" s="128"/>
      <c r="J136" s="128"/>
      <c r="K136" s="128"/>
      <c r="L136" s="227"/>
      <c r="M136" s="128"/>
      <c r="N136" s="227"/>
      <c r="O136" s="128"/>
      <c r="P136" s="227"/>
      <c r="Q136" s="228"/>
      <c r="R136" s="228"/>
      <c r="S136" s="228"/>
    </row>
    <row r="137" spans="2:19" ht="19.5" customHeight="1">
      <c r="B137" s="128"/>
      <c r="C137" s="226"/>
      <c r="D137" s="94"/>
      <c r="E137" s="94"/>
      <c r="F137" s="94"/>
      <c r="G137" s="94"/>
      <c r="H137" s="128"/>
      <c r="I137" s="128"/>
      <c r="J137" s="128"/>
      <c r="K137" s="128"/>
      <c r="L137" s="227"/>
      <c r="M137" s="128"/>
      <c r="N137" s="227"/>
      <c r="O137" s="128"/>
      <c r="P137" s="227"/>
      <c r="Q137" s="228"/>
      <c r="R137" s="228"/>
      <c r="S137" s="228"/>
    </row>
    <row r="138" spans="2:19" ht="19.5" customHeight="1">
      <c r="B138" s="128"/>
      <c r="C138" s="226"/>
      <c r="D138" s="94"/>
      <c r="E138" s="94"/>
      <c r="F138" s="94"/>
      <c r="G138" s="94"/>
      <c r="H138" s="128"/>
      <c r="I138" s="128"/>
      <c r="J138" s="128"/>
      <c r="K138" s="128"/>
      <c r="L138" s="227"/>
      <c r="M138" s="128"/>
      <c r="N138" s="227"/>
      <c r="O138" s="128"/>
      <c r="P138" s="227"/>
      <c r="Q138" s="228"/>
      <c r="R138" s="228"/>
      <c r="S138" s="228"/>
    </row>
    <row r="139" spans="2:19" ht="19.5" customHeight="1">
      <c r="B139" s="128"/>
      <c r="C139" s="226"/>
      <c r="D139" s="94"/>
      <c r="E139" s="94"/>
      <c r="F139" s="94"/>
      <c r="G139" s="94"/>
      <c r="H139" s="128"/>
      <c r="I139" s="128"/>
      <c r="J139" s="128"/>
      <c r="K139" s="128"/>
      <c r="L139" s="227"/>
      <c r="M139" s="128"/>
      <c r="N139" s="227"/>
      <c r="O139" s="128"/>
      <c r="P139" s="227"/>
      <c r="Q139" s="228"/>
      <c r="R139" s="228"/>
      <c r="S139" s="228"/>
    </row>
    <row r="140" spans="2:19" ht="19.5" customHeight="1">
      <c r="B140" s="128"/>
      <c r="C140" s="226"/>
      <c r="D140" s="94"/>
      <c r="E140" s="94"/>
      <c r="F140" s="94"/>
      <c r="G140" s="94"/>
      <c r="H140" s="128"/>
      <c r="I140" s="128"/>
      <c r="J140" s="128"/>
      <c r="K140" s="128"/>
      <c r="L140" s="227"/>
      <c r="M140" s="128"/>
      <c r="N140" s="227"/>
      <c r="O140" s="128"/>
      <c r="P140" s="227"/>
      <c r="Q140" s="228"/>
      <c r="R140" s="228"/>
      <c r="S140" s="228"/>
    </row>
    <row r="141" spans="2:19" ht="19.5" customHeight="1">
      <c r="B141" s="128"/>
      <c r="C141" s="226"/>
      <c r="D141" s="94"/>
      <c r="E141" s="94"/>
      <c r="F141" s="94"/>
      <c r="G141" s="94"/>
      <c r="H141" s="128"/>
      <c r="I141" s="128"/>
      <c r="J141" s="128"/>
      <c r="K141" s="128"/>
      <c r="L141" s="227"/>
      <c r="M141" s="128"/>
      <c r="N141" s="227"/>
      <c r="O141" s="128"/>
      <c r="P141" s="227"/>
      <c r="Q141" s="228"/>
      <c r="R141" s="228"/>
      <c r="S141" s="228"/>
    </row>
    <row r="142" spans="2:19" ht="19.5" customHeight="1">
      <c r="B142" s="128"/>
      <c r="C142" s="226"/>
      <c r="D142" s="94"/>
      <c r="E142" s="94"/>
      <c r="F142" s="94"/>
      <c r="G142" s="94"/>
      <c r="H142" s="128"/>
      <c r="I142" s="128"/>
      <c r="J142" s="128"/>
      <c r="K142" s="128"/>
      <c r="L142" s="227"/>
      <c r="M142" s="128"/>
      <c r="N142" s="227"/>
      <c r="O142" s="128"/>
      <c r="P142" s="227"/>
      <c r="Q142" s="228"/>
      <c r="R142" s="228"/>
      <c r="S142" s="228"/>
    </row>
    <row r="143" spans="2:19" ht="19.5" customHeight="1">
      <c r="B143" s="128"/>
      <c r="C143" s="226"/>
      <c r="D143" s="94"/>
      <c r="E143" s="94"/>
      <c r="F143" s="94"/>
      <c r="G143" s="94"/>
      <c r="H143" s="128"/>
      <c r="I143" s="128"/>
      <c r="J143" s="128"/>
      <c r="K143" s="128"/>
      <c r="L143" s="227"/>
      <c r="M143" s="128"/>
      <c r="N143" s="227"/>
      <c r="O143" s="128"/>
      <c r="P143" s="227"/>
      <c r="Q143" s="228"/>
      <c r="R143" s="228"/>
      <c r="S143" s="228"/>
    </row>
    <row r="144" spans="2:19" ht="19.5" customHeight="1">
      <c r="B144" s="128"/>
      <c r="C144" s="226"/>
      <c r="D144" s="94"/>
      <c r="E144" s="94"/>
      <c r="F144" s="94"/>
      <c r="G144" s="94"/>
      <c r="H144" s="128"/>
      <c r="I144" s="128"/>
      <c r="J144" s="128"/>
      <c r="K144" s="128"/>
      <c r="L144" s="227"/>
      <c r="M144" s="128"/>
      <c r="N144" s="227"/>
      <c r="O144" s="128"/>
      <c r="P144" s="227"/>
      <c r="Q144" s="228"/>
      <c r="R144" s="228"/>
      <c r="S144" s="228"/>
    </row>
    <row r="145" spans="2:19" ht="19.5" customHeight="1">
      <c r="B145" s="128"/>
      <c r="C145" s="226"/>
      <c r="D145" s="94"/>
      <c r="E145" s="94"/>
      <c r="F145" s="94"/>
      <c r="G145" s="94"/>
      <c r="H145" s="128"/>
      <c r="I145" s="128"/>
      <c r="J145" s="128"/>
      <c r="K145" s="128"/>
      <c r="L145" s="227"/>
      <c r="M145" s="128"/>
      <c r="N145" s="227"/>
      <c r="O145" s="128"/>
      <c r="P145" s="227"/>
      <c r="Q145" s="228"/>
      <c r="R145" s="228"/>
      <c r="S145" s="228"/>
    </row>
    <row r="146" spans="2:19" ht="19.5" customHeight="1">
      <c r="B146" s="128"/>
      <c r="C146" s="226"/>
      <c r="D146" s="94"/>
      <c r="E146" s="94"/>
      <c r="F146" s="94"/>
      <c r="G146" s="94"/>
      <c r="H146" s="128"/>
      <c r="I146" s="128"/>
      <c r="J146" s="128"/>
      <c r="K146" s="128"/>
      <c r="L146" s="227"/>
      <c r="M146" s="128"/>
      <c r="N146" s="227"/>
      <c r="O146" s="128"/>
      <c r="P146" s="227"/>
      <c r="Q146" s="228"/>
      <c r="R146" s="228"/>
      <c r="S146" s="228"/>
    </row>
    <row r="147" spans="2:19" ht="19.5" customHeight="1">
      <c r="B147" s="128"/>
      <c r="C147" s="226"/>
      <c r="D147" s="94"/>
      <c r="E147" s="94"/>
      <c r="F147" s="94"/>
      <c r="G147" s="94"/>
      <c r="H147" s="128"/>
      <c r="I147" s="128"/>
      <c r="J147" s="128"/>
      <c r="K147" s="128"/>
      <c r="L147" s="227"/>
      <c r="M147" s="128"/>
      <c r="N147" s="227"/>
      <c r="O147" s="128"/>
      <c r="P147" s="227"/>
      <c r="Q147" s="228"/>
      <c r="R147" s="228"/>
      <c r="S147" s="228"/>
    </row>
    <row r="148" spans="2:19" ht="19.5" customHeight="1">
      <c r="B148" s="128"/>
      <c r="C148" s="226"/>
      <c r="D148" s="94"/>
      <c r="E148" s="94"/>
      <c r="F148" s="94"/>
      <c r="G148" s="229"/>
      <c r="H148" s="128"/>
      <c r="I148" s="128"/>
      <c r="J148" s="128"/>
      <c r="K148" s="128"/>
      <c r="L148" s="227"/>
      <c r="M148" s="128"/>
      <c r="N148" s="227"/>
      <c r="O148" s="128"/>
      <c r="P148" s="227"/>
      <c r="Q148" s="228"/>
      <c r="R148" s="228"/>
      <c r="S148" s="228"/>
    </row>
    <row r="149" spans="2:19" ht="19.5" customHeight="1">
      <c r="B149" s="128"/>
      <c r="C149" s="226"/>
      <c r="D149" s="94"/>
      <c r="E149" s="94"/>
      <c r="F149" s="94"/>
      <c r="G149" s="229"/>
      <c r="H149" s="128"/>
      <c r="I149" s="128"/>
      <c r="J149" s="128"/>
      <c r="K149" s="128"/>
      <c r="L149" s="227"/>
      <c r="M149" s="128"/>
      <c r="N149" s="227"/>
      <c r="O149" s="128"/>
      <c r="P149" s="227"/>
      <c r="Q149" s="228"/>
      <c r="R149" s="228"/>
      <c r="S149" s="228"/>
    </row>
    <row r="150" spans="2:19" ht="19.5" customHeight="1">
      <c r="B150" s="128"/>
      <c r="C150" s="226"/>
      <c r="D150" s="94"/>
      <c r="E150" s="94"/>
      <c r="F150" s="94"/>
      <c r="G150" s="229"/>
      <c r="H150" s="128"/>
      <c r="I150" s="128"/>
      <c r="J150" s="128"/>
      <c r="K150" s="128"/>
      <c r="L150" s="227"/>
      <c r="M150" s="128"/>
      <c r="N150" s="227"/>
      <c r="O150" s="128"/>
      <c r="P150" s="227"/>
      <c r="Q150" s="228"/>
      <c r="R150" s="228"/>
      <c r="S150" s="228"/>
    </row>
    <row r="151" spans="2:19" ht="19.5" customHeight="1">
      <c r="B151" s="128"/>
      <c r="C151" s="226"/>
      <c r="D151" s="94"/>
      <c r="E151" s="94"/>
      <c r="F151" s="94"/>
      <c r="G151" s="229"/>
      <c r="H151" s="128"/>
      <c r="I151" s="128"/>
      <c r="J151" s="128"/>
      <c r="K151" s="128"/>
      <c r="L151" s="227"/>
      <c r="M151" s="128"/>
      <c r="N151" s="227"/>
      <c r="O151" s="128"/>
      <c r="P151" s="227"/>
      <c r="Q151" s="228"/>
      <c r="R151" s="228"/>
      <c r="S151" s="228"/>
    </row>
    <row r="152" spans="2:19" ht="19.5" customHeight="1">
      <c r="B152" s="128"/>
      <c r="C152" s="226"/>
      <c r="D152" s="94"/>
      <c r="E152" s="94"/>
      <c r="F152" s="94"/>
      <c r="G152" s="229"/>
      <c r="H152" s="128"/>
      <c r="I152" s="128"/>
      <c r="J152" s="128"/>
      <c r="K152" s="128"/>
      <c r="L152" s="227"/>
      <c r="M152" s="128"/>
      <c r="N152" s="227"/>
      <c r="O152" s="128"/>
      <c r="P152" s="227"/>
      <c r="Q152" s="228"/>
      <c r="R152" s="228"/>
      <c r="S152" s="228"/>
    </row>
    <row r="153" spans="2:19" ht="19.5" customHeight="1">
      <c r="B153" s="128"/>
      <c r="C153" s="226"/>
      <c r="D153" s="94"/>
      <c r="E153" s="94"/>
      <c r="F153" s="94"/>
      <c r="G153" s="229"/>
      <c r="H153" s="128"/>
      <c r="I153" s="128"/>
      <c r="J153" s="128"/>
      <c r="K153" s="128"/>
      <c r="L153" s="227"/>
      <c r="M153" s="128"/>
      <c r="N153" s="227"/>
      <c r="O153" s="128"/>
      <c r="P153" s="227"/>
      <c r="Q153" s="228"/>
      <c r="R153" s="228"/>
      <c r="S153" s="228"/>
    </row>
    <row r="154" spans="2:19" ht="19.5" customHeight="1">
      <c r="B154" s="128"/>
      <c r="C154" s="226"/>
      <c r="D154" s="94"/>
      <c r="E154" s="94"/>
      <c r="F154" s="94"/>
      <c r="G154" s="229"/>
      <c r="H154" s="128"/>
      <c r="I154" s="128"/>
      <c r="J154" s="128"/>
      <c r="K154" s="128"/>
      <c r="L154" s="227"/>
      <c r="M154" s="128"/>
      <c r="N154" s="227"/>
      <c r="O154" s="128"/>
      <c r="P154" s="227"/>
      <c r="Q154" s="228"/>
      <c r="R154" s="228"/>
      <c r="S154" s="228"/>
    </row>
    <row r="155" spans="2:19" ht="19.5" customHeight="1">
      <c r="B155" s="128"/>
      <c r="C155" s="226"/>
      <c r="D155" s="94"/>
      <c r="E155" s="94"/>
      <c r="F155" s="94"/>
      <c r="G155" s="229"/>
      <c r="H155" s="128"/>
      <c r="I155" s="128"/>
      <c r="J155" s="128"/>
      <c r="K155" s="128"/>
      <c r="L155" s="227"/>
      <c r="M155" s="128"/>
      <c r="N155" s="227"/>
      <c r="O155" s="128"/>
      <c r="P155" s="227"/>
      <c r="Q155" s="228"/>
      <c r="R155" s="228"/>
      <c r="S155" s="228"/>
    </row>
    <row r="156" spans="2:19" ht="19.5" customHeight="1">
      <c r="B156" s="128"/>
      <c r="C156" s="226"/>
      <c r="D156" s="94"/>
      <c r="E156" s="94"/>
      <c r="F156" s="94"/>
      <c r="G156" s="229"/>
      <c r="H156" s="128"/>
      <c r="I156" s="128"/>
      <c r="J156" s="128"/>
      <c r="K156" s="128"/>
      <c r="L156" s="227"/>
      <c r="M156" s="128"/>
      <c r="N156" s="227"/>
      <c r="O156" s="128"/>
      <c r="P156" s="227"/>
      <c r="Q156" s="228"/>
      <c r="R156" s="228"/>
      <c r="S156" s="228"/>
    </row>
    <row r="157" spans="2:19" ht="19.5" customHeight="1">
      <c r="B157" s="128"/>
      <c r="C157" s="226"/>
      <c r="D157" s="94"/>
      <c r="E157" s="94"/>
      <c r="F157" s="94"/>
      <c r="G157" s="229"/>
      <c r="H157" s="128"/>
      <c r="I157" s="128"/>
      <c r="J157" s="128"/>
      <c r="K157" s="128"/>
      <c r="L157" s="227"/>
      <c r="M157" s="128"/>
      <c r="N157" s="227"/>
      <c r="O157" s="128"/>
      <c r="P157" s="227"/>
      <c r="Q157" s="228"/>
      <c r="R157" s="228"/>
      <c r="S157" s="228"/>
    </row>
    <row r="158" spans="2:19" ht="19.5" customHeight="1">
      <c r="B158" s="128"/>
      <c r="C158" s="226"/>
      <c r="D158" s="94"/>
      <c r="E158" s="94"/>
      <c r="F158" s="94"/>
      <c r="G158" s="229"/>
      <c r="H158" s="128"/>
      <c r="I158" s="128"/>
      <c r="J158" s="128"/>
      <c r="K158" s="128"/>
      <c r="L158" s="227"/>
      <c r="M158" s="128"/>
      <c r="N158" s="227"/>
      <c r="O158" s="128"/>
      <c r="P158" s="227"/>
      <c r="Q158" s="228"/>
      <c r="R158" s="228"/>
      <c r="S158" s="228"/>
    </row>
    <row r="159" spans="2:19" ht="19.5" customHeight="1">
      <c r="B159" s="128"/>
      <c r="C159" s="226"/>
      <c r="D159" s="94"/>
      <c r="E159" s="94"/>
      <c r="F159" s="94"/>
      <c r="G159" s="229"/>
      <c r="H159" s="128"/>
      <c r="I159" s="128"/>
      <c r="J159" s="128"/>
      <c r="K159" s="128"/>
      <c r="L159" s="227"/>
      <c r="M159" s="128"/>
      <c r="N159" s="227"/>
      <c r="O159" s="128"/>
      <c r="P159" s="227"/>
      <c r="Q159" s="228"/>
      <c r="R159" s="228"/>
      <c r="S159" s="228"/>
    </row>
    <row r="160" spans="2:19" ht="19.5" customHeight="1">
      <c r="B160" s="128"/>
      <c r="C160" s="226"/>
      <c r="D160" s="94"/>
      <c r="E160" s="94"/>
      <c r="F160" s="94"/>
      <c r="G160" s="229"/>
      <c r="H160" s="128"/>
      <c r="I160" s="128"/>
      <c r="J160" s="128"/>
      <c r="K160" s="128"/>
      <c r="L160" s="227"/>
      <c r="M160" s="128"/>
      <c r="N160" s="227"/>
      <c r="O160" s="128"/>
      <c r="P160" s="227"/>
      <c r="Q160" s="228"/>
      <c r="R160" s="228"/>
      <c r="S160" s="228"/>
    </row>
    <row r="161" spans="2:19" ht="19.5" customHeight="1">
      <c r="B161" s="128"/>
      <c r="C161" s="226"/>
      <c r="D161" s="94"/>
      <c r="E161" s="94"/>
      <c r="F161" s="94"/>
      <c r="G161" s="229"/>
      <c r="H161" s="128"/>
      <c r="I161" s="128"/>
      <c r="J161" s="128"/>
      <c r="K161" s="128"/>
      <c r="L161" s="227"/>
      <c r="M161" s="128"/>
      <c r="N161" s="227"/>
      <c r="O161" s="128"/>
      <c r="P161" s="227"/>
      <c r="Q161" s="228"/>
      <c r="R161" s="228"/>
      <c r="S161" s="228"/>
    </row>
    <row r="162" spans="2:19" ht="19.5" customHeight="1">
      <c r="B162" s="128"/>
      <c r="C162" s="226"/>
      <c r="D162" s="94"/>
      <c r="E162" s="94"/>
      <c r="F162" s="94"/>
      <c r="G162" s="229"/>
      <c r="H162" s="128"/>
      <c r="I162" s="128"/>
      <c r="J162" s="128"/>
      <c r="K162" s="128"/>
      <c r="L162" s="227"/>
      <c r="M162" s="128"/>
      <c r="N162" s="227"/>
      <c r="O162" s="128"/>
      <c r="P162" s="227"/>
      <c r="Q162" s="228"/>
      <c r="R162" s="228"/>
      <c r="S162" s="228"/>
    </row>
    <row r="163" spans="2:19" ht="19.5" customHeight="1">
      <c r="B163" s="128"/>
      <c r="C163" s="226"/>
      <c r="D163" s="94"/>
      <c r="E163" s="94"/>
      <c r="F163" s="94"/>
      <c r="G163" s="229"/>
      <c r="H163" s="128"/>
      <c r="I163" s="128"/>
      <c r="J163" s="128"/>
      <c r="K163" s="128"/>
      <c r="L163" s="227"/>
      <c r="M163" s="128"/>
      <c r="N163" s="227"/>
      <c r="O163" s="128"/>
      <c r="P163" s="227"/>
      <c r="Q163" s="228"/>
      <c r="R163" s="228"/>
      <c r="S163" s="228"/>
    </row>
    <row r="164" spans="2:19" ht="19.5" customHeight="1">
      <c r="B164" s="128"/>
      <c r="C164" s="226"/>
      <c r="D164" s="94"/>
      <c r="E164" s="94"/>
      <c r="F164" s="94"/>
      <c r="G164" s="229"/>
      <c r="H164" s="128"/>
      <c r="I164" s="128"/>
      <c r="J164" s="128"/>
      <c r="K164" s="128"/>
      <c r="L164" s="227"/>
      <c r="M164" s="128"/>
      <c r="N164" s="227"/>
      <c r="O164" s="128"/>
      <c r="P164" s="227"/>
      <c r="Q164" s="228"/>
      <c r="R164" s="228"/>
      <c r="S164" s="228"/>
    </row>
    <row r="165" spans="2:19" ht="19.5" customHeight="1">
      <c r="B165" s="128"/>
      <c r="C165" s="226"/>
      <c r="D165" s="94"/>
      <c r="E165" s="94"/>
      <c r="F165" s="94"/>
      <c r="G165" s="229"/>
      <c r="H165" s="128"/>
      <c r="I165" s="128"/>
      <c r="J165" s="128"/>
      <c r="K165" s="128"/>
      <c r="L165" s="227"/>
      <c r="M165" s="128"/>
      <c r="N165" s="227"/>
      <c r="O165" s="128"/>
      <c r="P165" s="227"/>
      <c r="Q165" s="228"/>
      <c r="R165" s="228"/>
      <c r="S165" s="228"/>
    </row>
    <row r="166" spans="2:19" ht="19.5" customHeight="1">
      <c r="B166" s="128"/>
      <c r="C166" s="226"/>
      <c r="D166" s="94"/>
      <c r="E166" s="94"/>
      <c r="F166" s="94"/>
      <c r="G166" s="229"/>
      <c r="H166" s="128"/>
      <c r="I166" s="128"/>
      <c r="J166" s="128"/>
      <c r="K166" s="128"/>
      <c r="L166" s="227"/>
      <c r="M166" s="128"/>
      <c r="N166" s="227"/>
      <c r="O166" s="128"/>
      <c r="P166" s="227"/>
      <c r="Q166" s="228"/>
      <c r="R166" s="228"/>
      <c r="S166" s="228"/>
    </row>
    <row r="167" spans="2:19" ht="19.5" customHeight="1">
      <c r="B167" s="128"/>
      <c r="C167" s="226"/>
      <c r="D167" s="94"/>
      <c r="E167" s="94"/>
      <c r="F167" s="94"/>
      <c r="G167" s="229"/>
      <c r="H167" s="128"/>
      <c r="I167" s="128"/>
      <c r="J167" s="128"/>
      <c r="K167" s="128"/>
      <c r="L167" s="227"/>
      <c r="M167" s="128"/>
      <c r="N167" s="227"/>
      <c r="O167" s="128"/>
      <c r="P167" s="227"/>
      <c r="Q167" s="228"/>
      <c r="R167" s="228"/>
      <c r="S167" s="228"/>
    </row>
    <row r="168" spans="2:19" ht="19.5" customHeight="1">
      <c r="B168" s="128"/>
      <c r="C168" s="226"/>
      <c r="D168" s="94"/>
      <c r="E168" s="94"/>
      <c r="F168" s="94"/>
      <c r="G168" s="229"/>
      <c r="H168" s="128"/>
      <c r="I168" s="128"/>
      <c r="J168" s="128"/>
      <c r="K168" s="128"/>
      <c r="L168" s="227"/>
      <c r="M168" s="128"/>
      <c r="N168" s="227"/>
      <c r="O168" s="128"/>
      <c r="P168" s="227"/>
      <c r="Q168" s="228"/>
      <c r="R168" s="228"/>
      <c r="S168" s="228"/>
    </row>
    <row r="169" spans="2:19" ht="19.5" customHeight="1">
      <c r="B169" s="128"/>
      <c r="C169" s="226"/>
      <c r="D169" s="94"/>
      <c r="E169" s="94"/>
      <c r="F169" s="94"/>
      <c r="G169" s="229"/>
      <c r="H169" s="128"/>
      <c r="I169" s="128"/>
      <c r="J169" s="128"/>
      <c r="K169" s="128"/>
      <c r="L169" s="227"/>
      <c r="M169" s="128"/>
      <c r="N169" s="227"/>
      <c r="O169" s="128"/>
      <c r="P169" s="227"/>
      <c r="Q169" s="228"/>
      <c r="R169" s="228"/>
      <c r="S169" s="228"/>
    </row>
    <row r="170" spans="2:19" ht="19.5" customHeight="1">
      <c r="B170" s="128"/>
      <c r="C170" s="226"/>
      <c r="D170" s="94"/>
      <c r="E170" s="94"/>
      <c r="F170" s="94"/>
      <c r="G170" s="229"/>
      <c r="H170" s="128"/>
      <c r="I170" s="128"/>
      <c r="J170" s="128"/>
      <c r="K170" s="128"/>
      <c r="L170" s="227"/>
      <c r="M170" s="128"/>
      <c r="N170" s="227"/>
      <c r="O170" s="128"/>
      <c r="P170" s="227"/>
      <c r="Q170" s="228"/>
      <c r="R170" s="228"/>
      <c r="S170" s="228"/>
    </row>
    <row r="171" spans="2:19" ht="19.5" customHeight="1">
      <c r="B171" s="128"/>
      <c r="C171" s="226"/>
      <c r="D171" s="94"/>
      <c r="E171" s="94"/>
      <c r="F171" s="94"/>
      <c r="G171" s="229"/>
      <c r="H171" s="128"/>
      <c r="I171" s="128"/>
      <c r="J171" s="128"/>
      <c r="K171" s="128"/>
      <c r="L171" s="227"/>
      <c r="M171" s="128"/>
      <c r="N171" s="227"/>
      <c r="O171" s="128"/>
      <c r="P171" s="227"/>
      <c r="Q171" s="228"/>
      <c r="R171" s="228"/>
      <c r="S171" s="228"/>
    </row>
    <row r="172" spans="2:19" ht="19.5" customHeight="1">
      <c r="B172" s="128"/>
      <c r="C172" s="226"/>
      <c r="D172" s="94"/>
      <c r="E172" s="94"/>
      <c r="F172" s="94"/>
      <c r="G172" s="229"/>
      <c r="H172" s="128"/>
      <c r="I172" s="128"/>
      <c r="J172" s="128"/>
      <c r="K172" s="128"/>
      <c r="L172" s="227"/>
      <c r="M172" s="128"/>
      <c r="N172" s="227"/>
      <c r="O172" s="128"/>
      <c r="P172" s="227"/>
      <c r="Q172" s="228"/>
      <c r="R172" s="228"/>
      <c r="S172" s="228"/>
    </row>
    <row r="173" spans="2:19" ht="19.5" customHeight="1">
      <c r="B173" s="128"/>
      <c r="C173" s="226"/>
      <c r="D173" s="94"/>
      <c r="E173" s="94"/>
      <c r="F173" s="94"/>
      <c r="G173" s="229"/>
      <c r="H173" s="128"/>
      <c r="I173" s="128"/>
      <c r="J173" s="128"/>
      <c r="K173" s="128"/>
      <c r="L173" s="227"/>
      <c r="M173" s="128"/>
      <c r="N173" s="227"/>
      <c r="O173" s="128"/>
      <c r="P173" s="227"/>
      <c r="Q173" s="228"/>
      <c r="R173" s="228"/>
      <c r="S173" s="228"/>
    </row>
    <row r="174" spans="2:19" ht="19.5" customHeight="1">
      <c r="B174" s="128"/>
      <c r="C174" s="226"/>
      <c r="D174" s="94"/>
      <c r="E174" s="94"/>
      <c r="F174" s="94"/>
      <c r="G174" s="229"/>
      <c r="H174" s="128"/>
      <c r="I174" s="128"/>
      <c r="J174" s="128"/>
      <c r="K174" s="128"/>
      <c r="L174" s="227"/>
      <c r="M174" s="128"/>
      <c r="N174" s="227"/>
      <c r="O174" s="128"/>
      <c r="P174" s="227"/>
      <c r="Q174" s="228"/>
      <c r="R174" s="228"/>
      <c r="S174" s="228"/>
    </row>
    <row r="175" spans="2:19" ht="19.5" customHeight="1">
      <c r="B175" s="128"/>
      <c r="C175" s="226"/>
      <c r="D175" s="94"/>
      <c r="E175" s="94"/>
      <c r="F175" s="94"/>
      <c r="G175" s="229"/>
      <c r="H175" s="128"/>
      <c r="I175" s="128"/>
      <c r="J175" s="128"/>
      <c r="K175" s="128"/>
      <c r="L175" s="227"/>
      <c r="M175" s="128"/>
      <c r="N175" s="227"/>
      <c r="O175" s="128"/>
      <c r="P175" s="227"/>
      <c r="Q175" s="228"/>
      <c r="R175" s="228"/>
      <c r="S175" s="228"/>
    </row>
    <row r="176" spans="2:19" ht="19.5" customHeight="1">
      <c r="B176" s="128"/>
      <c r="C176" s="226"/>
      <c r="D176" s="94"/>
      <c r="E176" s="94"/>
      <c r="F176" s="94"/>
      <c r="G176" s="229"/>
      <c r="H176" s="128"/>
      <c r="I176" s="128"/>
      <c r="J176" s="128"/>
      <c r="K176" s="128"/>
      <c r="L176" s="227"/>
      <c r="M176" s="128"/>
      <c r="N176" s="227"/>
      <c r="O176" s="128"/>
      <c r="P176" s="227"/>
      <c r="Q176" s="228"/>
      <c r="R176" s="228"/>
      <c r="S176" s="228"/>
    </row>
    <row r="177" spans="2:19" ht="19.5" customHeight="1">
      <c r="B177" s="128"/>
      <c r="C177" s="226"/>
      <c r="D177" s="94"/>
      <c r="E177" s="94"/>
      <c r="F177" s="94"/>
      <c r="G177" s="229"/>
      <c r="H177" s="128"/>
      <c r="I177" s="128"/>
      <c r="J177" s="128"/>
      <c r="K177" s="128"/>
      <c r="L177" s="227"/>
      <c r="M177" s="128"/>
      <c r="N177" s="227"/>
      <c r="O177" s="128"/>
      <c r="P177" s="227"/>
      <c r="Q177" s="228"/>
      <c r="R177" s="228"/>
      <c r="S177" s="228"/>
    </row>
    <row r="178" spans="2:19" ht="19.5" customHeight="1">
      <c r="B178" s="128"/>
      <c r="C178" s="226"/>
      <c r="D178" s="94"/>
      <c r="E178" s="94"/>
      <c r="F178" s="94"/>
      <c r="G178" s="229"/>
      <c r="H178" s="128"/>
      <c r="I178" s="128"/>
      <c r="J178" s="128"/>
      <c r="K178" s="128"/>
      <c r="L178" s="227"/>
      <c r="M178" s="128"/>
      <c r="N178" s="227"/>
      <c r="O178" s="128"/>
      <c r="P178" s="227"/>
      <c r="Q178" s="228"/>
      <c r="R178" s="228"/>
      <c r="S178" s="228"/>
    </row>
    <row r="179" spans="2:19" ht="19.5" customHeight="1">
      <c r="B179" s="128"/>
      <c r="C179" s="226"/>
      <c r="D179" s="94"/>
      <c r="E179" s="94"/>
      <c r="F179" s="94"/>
      <c r="G179" s="229"/>
      <c r="H179" s="128"/>
      <c r="I179" s="128"/>
      <c r="J179" s="128"/>
      <c r="K179" s="128"/>
      <c r="L179" s="227"/>
      <c r="M179" s="128"/>
      <c r="N179" s="227"/>
      <c r="O179" s="128"/>
      <c r="P179" s="227"/>
      <c r="Q179" s="228"/>
      <c r="R179" s="228"/>
      <c r="S179" s="228"/>
    </row>
    <row r="180" spans="2:19" ht="19.5" customHeight="1">
      <c r="B180" s="128"/>
      <c r="C180" s="226"/>
      <c r="D180" s="94"/>
      <c r="E180" s="94"/>
      <c r="F180" s="94"/>
      <c r="G180" s="229"/>
      <c r="H180" s="128"/>
      <c r="I180" s="128"/>
      <c r="J180" s="128"/>
      <c r="K180" s="128"/>
      <c r="L180" s="227"/>
      <c r="M180" s="128"/>
      <c r="N180" s="227"/>
      <c r="O180" s="128"/>
      <c r="P180" s="227"/>
      <c r="Q180" s="228"/>
      <c r="R180" s="228"/>
      <c r="S180" s="228"/>
    </row>
    <row r="181" spans="2:19" ht="19.5" customHeight="1">
      <c r="B181" s="128"/>
      <c r="C181" s="226"/>
      <c r="D181" s="94"/>
      <c r="E181" s="94"/>
      <c r="F181" s="94"/>
      <c r="G181" s="229"/>
      <c r="H181" s="128"/>
      <c r="I181" s="128"/>
      <c r="J181" s="128"/>
      <c r="K181" s="128"/>
      <c r="L181" s="227"/>
      <c r="M181" s="128"/>
      <c r="N181" s="227"/>
      <c r="O181" s="128"/>
      <c r="P181" s="227"/>
      <c r="Q181" s="228"/>
      <c r="R181" s="228"/>
      <c r="S181" s="228"/>
    </row>
    <row r="182" spans="2:19" ht="19.5" customHeight="1">
      <c r="B182" s="128"/>
      <c r="C182" s="226"/>
      <c r="D182" s="94"/>
      <c r="E182" s="94"/>
      <c r="F182" s="94"/>
      <c r="G182" s="229"/>
      <c r="H182" s="128"/>
      <c r="I182" s="128"/>
      <c r="J182" s="128"/>
      <c r="K182" s="128"/>
      <c r="L182" s="227"/>
      <c r="M182" s="128"/>
      <c r="N182" s="227"/>
      <c r="O182" s="128"/>
      <c r="P182" s="227"/>
      <c r="Q182" s="228"/>
      <c r="R182" s="228"/>
      <c r="S182" s="228"/>
    </row>
    <row r="183" spans="2:19" ht="19.5" customHeight="1">
      <c r="B183" s="128"/>
      <c r="C183" s="226"/>
      <c r="D183" s="94"/>
      <c r="E183" s="94"/>
      <c r="F183" s="94"/>
      <c r="G183" s="229"/>
      <c r="H183" s="128"/>
      <c r="I183" s="128"/>
      <c r="J183" s="128"/>
      <c r="K183" s="128"/>
      <c r="L183" s="227"/>
      <c r="M183" s="128"/>
      <c r="N183" s="227"/>
      <c r="O183" s="128"/>
      <c r="P183" s="227"/>
      <c r="Q183" s="228"/>
      <c r="R183" s="228"/>
      <c r="S183" s="228"/>
    </row>
    <row r="184" spans="2:19" ht="19.5" customHeight="1">
      <c r="B184" s="128"/>
      <c r="C184" s="226"/>
      <c r="D184" s="94"/>
      <c r="E184" s="94"/>
      <c r="F184" s="94"/>
      <c r="G184" s="229"/>
      <c r="H184" s="128"/>
      <c r="I184" s="128"/>
      <c r="J184" s="128"/>
      <c r="K184" s="128"/>
      <c r="L184" s="227"/>
      <c r="M184" s="128"/>
      <c r="N184" s="227"/>
      <c r="O184" s="128"/>
      <c r="P184" s="227"/>
      <c r="Q184" s="228"/>
      <c r="R184" s="228"/>
      <c r="S184" s="228"/>
    </row>
    <row r="185" spans="2:19" ht="19.5" customHeight="1">
      <c r="B185" s="128"/>
      <c r="C185" s="226"/>
      <c r="D185" s="94"/>
      <c r="E185" s="94"/>
      <c r="F185" s="94"/>
      <c r="G185" s="229"/>
      <c r="H185" s="128"/>
      <c r="I185" s="128"/>
      <c r="J185" s="128"/>
      <c r="K185" s="128"/>
      <c r="L185" s="227"/>
      <c r="M185" s="128"/>
      <c r="N185" s="227"/>
      <c r="O185" s="128"/>
      <c r="P185" s="227"/>
      <c r="Q185" s="228"/>
      <c r="R185" s="228"/>
      <c r="S185" s="228"/>
    </row>
    <row r="186" spans="2:19" ht="19.5" customHeight="1">
      <c r="B186" s="128"/>
      <c r="C186" s="226"/>
      <c r="D186" s="94"/>
      <c r="E186" s="94"/>
      <c r="F186" s="94"/>
      <c r="G186" s="229"/>
      <c r="H186" s="128"/>
      <c r="I186" s="128"/>
      <c r="J186" s="128"/>
      <c r="K186" s="128"/>
      <c r="L186" s="227"/>
      <c r="M186" s="128"/>
      <c r="N186" s="227"/>
      <c r="O186" s="128"/>
      <c r="P186" s="227"/>
      <c r="Q186" s="228"/>
      <c r="R186" s="228"/>
      <c r="S186" s="228"/>
    </row>
    <row r="187" spans="2:19" ht="19.5" customHeight="1">
      <c r="B187" s="128"/>
      <c r="C187" s="226"/>
      <c r="D187" s="94"/>
      <c r="E187" s="94"/>
      <c r="F187" s="94"/>
      <c r="G187" s="229"/>
      <c r="H187" s="128"/>
      <c r="I187" s="128"/>
      <c r="J187" s="128"/>
      <c r="K187" s="128"/>
      <c r="L187" s="227"/>
      <c r="M187" s="128"/>
      <c r="N187" s="227"/>
      <c r="O187" s="128"/>
      <c r="P187" s="227"/>
      <c r="Q187" s="228"/>
      <c r="R187" s="228"/>
      <c r="S187" s="228"/>
    </row>
    <row r="188" spans="2:19" ht="19.5" customHeight="1">
      <c r="B188" s="128"/>
      <c r="C188" s="128"/>
      <c r="D188" s="94"/>
      <c r="E188" s="94"/>
      <c r="F188" s="94"/>
      <c r="G188" s="229"/>
      <c r="H188" s="128"/>
      <c r="I188" s="128"/>
      <c r="J188" s="128"/>
      <c r="K188" s="128"/>
      <c r="L188" s="227"/>
      <c r="M188" s="128"/>
      <c r="N188" s="227"/>
      <c r="O188" s="128"/>
      <c r="P188" s="227"/>
      <c r="Q188" s="228"/>
      <c r="R188" s="228"/>
      <c r="S188" s="228"/>
    </row>
    <row r="189" spans="2:19" ht="19.5" customHeight="1">
      <c r="B189" s="128"/>
      <c r="C189" s="128"/>
      <c r="D189" s="94"/>
      <c r="E189" s="94"/>
      <c r="F189" s="94"/>
      <c r="G189" s="229"/>
      <c r="H189" s="128"/>
      <c r="I189" s="128"/>
      <c r="J189" s="128"/>
      <c r="K189" s="128"/>
      <c r="L189" s="227"/>
      <c r="M189" s="128"/>
      <c r="N189" s="227"/>
      <c r="O189" s="128"/>
      <c r="P189" s="227"/>
      <c r="Q189" s="228"/>
      <c r="R189" s="228"/>
      <c r="S189" s="228"/>
    </row>
    <row r="190" spans="2:19" ht="19.5" customHeight="1">
      <c r="B190" s="128"/>
      <c r="C190" s="128"/>
      <c r="D190" s="94"/>
      <c r="E190" s="94"/>
      <c r="F190" s="94"/>
      <c r="G190" s="229"/>
      <c r="H190" s="128"/>
      <c r="I190" s="128"/>
      <c r="J190" s="128"/>
      <c r="K190" s="128"/>
      <c r="L190" s="227"/>
      <c r="M190" s="128"/>
      <c r="N190" s="227"/>
      <c r="O190" s="128"/>
      <c r="P190" s="227"/>
      <c r="Q190" s="228"/>
      <c r="R190" s="228"/>
      <c r="S190" s="228"/>
    </row>
    <row r="191" spans="2:19" ht="19.5" customHeight="1">
      <c r="B191" s="128"/>
      <c r="C191" s="128"/>
      <c r="D191" s="94"/>
      <c r="E191" s="94"/>
      <c r="F191" s="94"/>
      <c r="G191" s="229"/>
      <c r="H191" s="128"/>
      <c r="I191" s="128"/>
      <c r="J191" s="128"/>
      <c r="K191" s="128"/>
      <c r="L191" s="227"/>
      <c r="M191" s="128"/>
      <c r="N191" s="227"/>
      <c r="O191" s="128"/>
      <c r="P191" s="227"/>
      <c r="Q191" s="228"/>
      <c r="R191" s="228"/>
      <c r="S191" s="228"/>
    </row>
    <row r="192" spans="2:19" ht="19.5" customHeight="1">
      <c r="B192" s="128"/>
      <c r="C192" s="128"/>
      <c r="D192" s="94"/>
      <c r="E192" s="94"/>
      <c r="F192" s="94"/>
      <c r="G192" s="229"/>
      <c r="H192" s="128"/>
      <c r="I192" s="128"/>
      <c r="J192" s="128"/>
      <c r="K192" s="128"/>
      <c r="L192" s="227"/>
      <c r="M192" s="128"/>
      <c r="N192" s="227"/>
      <c r="O192" s="128"/>
      <c r="P192" s="227"/>
      <c r="Q192" s="228"/>
      <c r="R192" s="228"/>
      <c r="S192" s="228"/>
    </row>
    <row r="193" spans="2:19" ht="19.5" customHeight="1">
      <c r="B193" s="128"/>
      <c r="C193" s="128"/>
      <c r="D193" s="94"/>
      <c r="E193" s="94"/>
      <c r="F193" s="94"/>
      <c r="G193" s="229"/>
      <c r="H193" s="128"/>
      <c r="I193" s="128"/>
      <c r="J193" s="128"/>
      <c r="K193" s="128"/>
      <c r="L193" s="227"/>
      <c r="M193" s="128"/>
      <c r="N193" s="227"/>
      <c r="O193" s="128"/>
      <c r="P193" s="227"/>
      <c r="Q193" s="228"/>
      <c r="R193" s="228"/>
      <c r="S193" s="228"/>
    </row>
    <row r="194" spans="2:19" ht="19.5" customHeight="1">
      <c r="B194" s="128"/>
      <c r="C194" s="128"/>
      <c r="D194" s="94"/>
      <c r="E194" s="94"/>
      <c r="F194" s="94"/>
      <c r="G194" s="229"/>
      <c r="H194" s="128"/>
      <c r="I194" s="128"/>
      <c r="J194" s="128"/>
      <c r="K194" s="128"/>
      <c r="L194" s="227"/>
      <c r="M194" s="128"/>
      <c r="N194" s="227"/>
      <c r="O194" s="128"/>
      <c r="P194" s="227"/>
      <c r="Q194" s="228"/>
      <c r="R194" s="228"/>
      <c r="S194" s="228"/>
    </row>
    <row r="195" spans="2:19" ht="19.5" customHeight="1">
      <c r="B195" s="128"/>
      <c r="C195" s="128"/>
      <c r="D195" s="94"/>
      <c r="E195" s="94"/>
      <c r="F195" s="94"/>
      <c r="G195" s="229"/>
      <c r="H195" s="128"/>
      <c r="I195" s="128"/>
      <c r="J195" s="128"/>
      <c r="K195" s="128"/>
      <c r="L195" s="227"/>
      <c r="M195" s="128"/>
      <c r="N195" s="227"/>
      <c r="O195" s="128"/>
      <c r="P195" s="227"/>
      <c r="Q195" s="228"/>
      <c r="R195" s="228"/>
      <c r="S195" s="228"/>
    </row>
    <row r="196" spans="2:19" ht="19.5" customHeight="1">
      <c r="B196" s="128"/>
      <c r="C196" s="128"/>
      <c r="D196" s="94"/>
      <c r="E196" s="94"/>
      <c r="F196" s="94"/>
      <c r="G196" s="229"/>
      <c r="H196" s="128"/>
      <c r="I196" s="128"/>
      <c r="J196" s="128"/>
      <c r="K196" s="128"/>
      <c r="L196" s="227"/>
      <c r="M196" s="128"/>
      <c r="N196" s="227"/>
      <c r="O196" s="128"/>
      <c r="P196" s="227"/>
      <c r="Q196" s="228"/>
      <c r="R196" s="228"/>
      <c r="S196" s="228"/>
    </row>
    <row r="197" spans="2:19" ht="19.5" customHeight="1">
      <c r="B197" s="128"/>
      <c r="C197" s="128"/>
      <c r="D197" s="94"/>
      <c r="E197" s="94"/>
      <c r="F197" s="94"/>
      <c r="G197" s="229"/>
      <c r="H197" s="128"/>
      <c r="I197" s="128"/>
      <c r="J197" s="128"/>
      <c r="K197" s="128"/>
      <c r="L197" s="227"/>
      <c r="M197" s="128"/>
      <c r="N197" s="227"/>
      <c r="O197" s="128"/>
      <c r="P197" s="227"/>
      <c r="Q197" s="228"/>
      <c r="R197" s="228"/>
      <c r="S197" s="228"/>
    </row>
    <row r="198" spans="2:19" ht="19.5" customHeight="1">
      <c r="B198" s="128"/>
      <c r="C198" s="128"/>
      <c r="D198" s="94"/>
      <c r="E198" s="94"/>
      <c r="F198" s="94"/>
      <c r="G198" s="229"/>
      <c r="H198" s="128"/>
      <c r="I198" s="128"/>
      <c r="J198" s="128"/>
      <c r="K198" s="128"/>
      <c r="L198" s="227"/>
      <c r="M198" s="128"/>
      <c r="N198" s="227"/>
      <c r="O198" s="128"/>
      <c r="P198" s="227"/>
      <c r="Q198" s="228"/>
      <c r="R198" s="228"/>
      <c r="S198" s="228"/>
    </row>
    <row r="199" spans="2:19" ht="19.5" customHeight="1">
      <c r="B199" s="128"/>
      <c r="C199" s="128"/>
      <c r="D199" s="94"/>
      <c r="E199" s="94"/>
      <c r="F199" s="94"/>
      <c r="G199" s="229"/>
      <c r="H199" s="128"/>
      <c r="I199" s="128"/>
      <c r="J199" s="128"/>
      <c r="K199" s="128"/>
      <c r="L199" s="227"/>
      <c r="M199" s="128"/>
      <c r="N199" s="227"/>
      <c r="O199" s="128"/>
      <c r="P199" s="227"/>
      <c r="Q199" s="228"/>
      <c r="R199" s="228"/>
      <c r="S199" s="228"/>
    </row>
    <row r="200" spans="2:19" ht="19.5" customHeight="1">
      <c r="B200" s="128"/>
      <c r="C200" s="128"/>
      <c r="D200" s="94"/>
      <c r="E200" s="94"/>
      <c r="F200" s="94"/>
      <c r="G200" s="229"/>
      <c r="H200" s="128"/>
      <c r="I200" s="128"/>
      <c r="J200" s="128"/>
      <c r="K200" s="128"/>
      <c r="L200" s="227"/>
      <c r="M200" s="128"/>
      <c r="N200" s="227"/>
      <c r="O200" s="128"/>
      <c r="P200" s="227"/>
      <c r="Q200" s="228"/>
      <c r="R200" s="228"/>
      <c r="S200" s="228"/>
    </row>
    <row r="201" spans="2:19" ht="19.5" customHeight="1">
      <c r="B201" s="128"/>
      <c r="C201" s="128"/>
      <c r="D201" s="94"/>
      <c r="E201" s="94"/>
      <c r="F201" s="94"/>
      <c r="G201" s="229"/>
      <c r="H201" s="128"/>
      <c r="I201" s="128"/>
      <c r="J201" s="128"/>
      <c r="K201" s="128"/>
      <c r="L201" s="227"/>
      <c r="M201" s="128"/>
      <c r="N201" s="227"/>
      <c r="O201" s="128"/>
      <c r="P201" s="227"/>
      <c r="Q201" s="228"/>
      <c r="R201" s="228"/>
      <c r="S201" s="228"/>
    </row>
    <row r="202" spans="2:19" ht="19.5" customHeight="1">
      <c r="B202" s="128"/>
      <c r="C202" s="128"/>
      <c r="D202" s="94"/>
      <c r="E202" s="94"/>
      <c r="F202" s="94"/>
      <c r="G202" s="229"/>
      <c r="H202" s="128"/>
      <c r="I202" s="128"/>
      <c r="J202" s="128"/>
      <c r="K202" s="128"/>
      <c r="L202" s="227"/>
      <c r="M202" s="128"/>
      <c r="N202" s="227"/>
      <c r="O202" s="128"/>
      <c r="P202" s="227"/>
      <c r="Q202" s="228"/>
      <c r="R202" s="228"/>
      <c r="S202" s="228"/>
    </row>
    <row r="203" spans="2:19" ht="19.5" customHeight="1">
      <c r="B203" s="128"/>
      <c r="C203" s="128"/>
      <c r="D203" s="94"/>
      <c r="E203" s="94"/>
      <c r="F203" s="94"/>
      <c r="G203" s="229"/>
      <c r="H203" s="128"/>
      <c r="I203" s="128"/>
      <c r="J203" s="128"/>
      <c r="K203" s="128"/>
      <c r="L203" s="227"/>
      <c r="M203" s="128"/>
      <c r="N203" s="227"/>
      <c r="O203" s="128"/>
      <c r="P203" s="227"/>
      <c r="Q203" s="228"/>
      <c r="R203" s="228"/>
      <c r="S203" s="228"/>
    </row>
    <row r="204" spans="2:19" ht="19.5" customHeight="1">
      <c r="B204" s="128"/>
      <c r="C204" s="128"/>
      <c r="D204" s="94"/>
      <c r="E204" s="94"/>
      <c r="F204" s="94"/>
      <c r="G204" s="229"/>
      <c r="H204" s="128"/>
      <c r="I204" s="128"/>
      <c r="J204" s="128"/>
      <c r="K204" s="128"/>
      <c r="L204" s="227"/>
      <c r="M204" s="128"/>
      <c r="N204" s="227"/>
      <c r="O204" s="128"/>
      <c r="P204" s="227"/>
      <c r="Q204" s="228"/>
      <c r="R204" s="228"/>
      <c r="S204" s="228"/>
    </row>
    <row r="205" spans="2:19" ht="19.5" customHeight="1">
      <c r="B205" s="128"/>
      <c r="C205" s="128"/>
      <c r="D205" s="94"/>
      <c r="E205" s="94"/>
      <c r="F205" s="94"/>
      <c r="G205" s="229"/>
      <c r="H205" s="128"/>
      <c r="I205" s="128"/>
      <c r="J205" s="128"/>
      <c r="K205" s="128"/>
      <c r="L205" s="227"/>
      <c r="M205" s="128"/>
      <c r="N205" s="227"/>
      <c r="O205" s="128"/>
      <c r="P205" s="227"/>
      <c r="Q205" s="228"/>
      <c r="R205" s="228"/>
      <c r="S205" s="228"/>
    </row>
    <row r="206" spans="2:19" ht="19.5" customHeight="1">
      <c r="B206" s="128"/>
      <c r="C206" s="128"/>
      <c r="D206" s="94"/>
      <c r="E206" s="94"/>
      <c r="F206" s="94"/>
      <c r="G206" s="229"/>
      <c r="H206" s="128"/>
      <c r="I206" s="128"/>
      <c r="J206" s="128"/>
      <c r="K206" s="128"/>
      <c r="L206" s="227"/>
      <c r="M206" s="128"/>
      <c r="N206" s="227"/>
      <c r="O206" s="128"/>
      <c r="P206" s="227"/>
      <c r="Q206" s="228"/>
      <c r="R206" s="228"/>
      <c r="S206" s="228"/>
    </row>
    <row r="207" spans="2:19" ht="19.5" customHeight="1">
      <c r="B207" s="128"/>
      <c r="C207" s="128"/>
      <c r="D207" s="94"/>
      <c r="E207" s="94"/>
      <c r="F207" s="94"/>
      <c r="G207" s="229"/>
      <c r="H207" s="128"/>
      <c r="I207" s="128"/>
      <c r="J207" s="128"/>
      <c r="K207" s="128"/>
      <c r="L207" s="227"/>
      <c r="M207" s="128"/>
      <c r="N207" s="227"/>
      <c r="O207" s="128"/>
      <c r="P207" s="227"/>
      <c r="Q207" s="228"/>
      <c r="R207" s="228"/>
      <c r="S207" s="228"/>
    </row>
    <row r="208" spans="2:19" ht="19.5" customHeight="1">
      <c r="B208" s="128"/>
      <c r="C208" s="128"/>
      <c r="D208" s="94"/>
      <c r="E208" s="94"/>
      <c r="F208" s="94"/>
      <c r="G208" s="229"/>
      <c r="H208" s="128"/>
      <c r="I208" s="128"/>
      <c r="J208" s="128"/>
      <c r="K208" s="128"/>
      <c r="L208" s="227"/>
      <c r="M208" s="128"/>
      <c r="N208" s="227"/>
      <c r="O208" s="128"/>
      <c r="P208" s="227"/>
      <c r="Q208" s="228"/>
      <c r="R208" s="228"/>
      <c r="S208" s="228"/>
    </row>
    <row r="209" spans="2:19" ht="19.5" customHeight="1">
      <c r="B209" s="128"/>
      <c r="C209" s="128"/>
      <c r="D209" s="94"/>
      <c r="E209" s="94"/>
      <c r="F209" s="94"/>
      <c r="G209" s="229"/>
      <c r="H209" s="128"/>
      <c r="I209" s="128"/>
      <c r="J209" s="128"/>
      <c r="K209" s="128"/>
      <c r="L209" s="227"/>
      <c r="M209" s="128"/>
      <c r="N209" s="227"/>
      <c r="O209" s="128"/>
      <c r="P209" s="227"/>
      <c r="Q209" s="228"/>
      <c r="R209" s="228"/>
      <c r="S209" s="228"/>
    </row>
    <row r="210" spans="2:19" ht="19.5" customHeight="1">
      <c r="B210" s="128"/>
      <c r="C210" s="128"/>
      <c r="D210" s="94"/>
      <c r="E210" s="94"/>
      <c r="F210" s="94"/>
      <c r="G210" s="229"/>
      <c r="H210" s="128"/>
      <c r="I210" s="128"/>
      <c r="J210" s="128"/>
      <c r="K210" s="128"/>
      <c r="L210" s="227"/>
      <c r="M210" s="128"/>
      <c r="N210" s="227"/>
      <c r="O210" s="128"/>
      <c r="P210" s="227"/>
      <c r="Q210" s="228"/>
      <c r="R210" s="228"/>
      <c r="S210" s="228"/>
    </row>
    <row r="211" spans="2:19" ht="19.5" customHeight="1">
      <c r="B211" s="128"/>
      <c r="C211" s="128"/>
      <c r="D211" s="94"/>
      <c r="E211" s="94"/>
      <c r="F211" s="94"/>
      <c r="G211" s="229"/>
      <c r="H211" s="128"/>
      <c r="I211" s="128"/>
      <c r="J211" s="128"/>
      <c r="K211" s="128"/>
      <c r="L211" s="227"/>
      <c r="M211" s="128"/>
      <c r="N211" s="227"/>
      <c r="O211" s="128"/>
      <c r="P211" s="227"/>
      <c r="Q211" s="228"/>
      <c r="R211" s="228"/>
      <c r="S211" s="228"/>
    </row>
    <row r="212" spans="2:19" ht="19.5" customHeight="1">
      <c r="B212" s="128"/>
      <c r="C212" s="128"/>
      <c r="D212" s="94"/>
      <c r="E212" s="94"/>
      <c r="F212" s="94"/>
      <c r="G212" s="229"/>
      <c r="H212" s="128"/>
      <c r="I212" s="128"/>
      <c r="J212" s="128"/>
      <c r="K212" s="128"/>
      <c r="L212" s="227"/>
      <c r="M212" s="128"/>
      <c r="N212" s="227"/>
      <c r="O212" s="128"/>
      <c r="P212" s="227"/>
      <c r="Q212" s="228"/>
      <c r="R212" s="228"/>
      <c r="S212" s="228"/>
    </row>
    <row r="213" spans="2:19" ht="19.5" customHeight="1">
      <c r="B213" s="128"/>
      <c r="C213" s="128"/>
      <c r="D213" s="94"/>
      <c r="E213" s="94"/>
      <c r="F213" s="94"/>
      <c r="G213" s="229"/>
      <c r="H213" s="128"/>
      <c r="I213" s="128"/>
      <c r="J213" s="128"/>
      <c r="K213" s="128"/>
      <c r="L213" s="227"/>
      <c r="M213" s="128"/>
      <c r="N213" s="227"/>
      <c r="O213" s="128"/>
      <c r="P213" s="227"/>
      <c r="Q213" s="228"/>
      <c r="R213" s="228"/>
      <c r="S213" s="228"/>
    </row>
    <row r="214" spans="2:19" ht="19.5" customHeight="1">
      <c r="B214" s="128"/>
      <c r="C214" s="128"/>
      <c r="D214" s="94"/>
      <c r="E214" s="94"/>
      <c r="F214" s="94"/>
      <c r="G214" s="229"/>
      <c r="H214" s="128"/>
      <c r="I214" s="128"/>
      <c r="J214" s="128"/>
      <c r="K214" s="128"/>
      <c r="L214" s="227"/>
      <c r="M214" s="128"/>
      <c r="N214" s="227"/>
      <c r="O214" s="128"/>
      <c r="P214" s="227"/>
      <c r="Q214" s="228"/>
      <c r="R214" s="228"/>
      <c r="S214" s="228"/>
    </row>
    <row r="215" spans="2:19" ht="19.5" customHeight="1">
      <c r="B215" s="128"/>
      <c r="C215" s="128"/>
      <c r="D215" s="94"/>
      <c r="E215" s="94"/>
      <c r="F215" s="94"/>
      <c r="G215" s="229"/>
      <c r="H215" s="128"/>
      <c r="I215" s="128"/>
      <c r="J215" s="128"/>
      <c r="K215" s="128"/>
      <c r="L215" s="227"/>
      <c r="M215" s="128"/>
      <c r="N215" s="227"/>
      <c r="O215" s="128"/>
      <c r="P215" s="227"/>
      <c r="Q215" s="228"/>
      <c r="R215" s="228"/>
      <c r="S215" s="228"/>
    </row>
    <row r="216" spans="2:19" ht="19.5" customHeight="1">
      <c r="B216" s="128"/>
      <c r="C216" s="128"/>
      <c r="D216" s="94"/>
      <c r="E216" s="94"/>
      <c r="F216" s="94"/>
      <c r="G216" s="229"/>
      <c r="H216" s="128"/>
      <c r="I216" s="128"/>
      <c r="J216" s="128"/>
      <c r="K216" s="128"/>
      <c r="L216" s="227"/>
      <c r="M216" s="128"/>
      <c r="N216" s="227"/>
      <c r="O216" s="128"/>
      <c r="P216" s="227"/>
      <c r="Q216" s="228"/>
      <c r="R216" s="228"/>
      <c r="S216" s="228"/>
    </row>
    <row r="217" spans="2:19" ht="19.5" customHeight="1">
      <c r="B217" s="128"/>
      <c r="C217" s="128"/>
      <c r="D217" s="94"/>
      <c r="E217" s="94"/>
      <c r="F217" s="94"/>
      <c r="G217" s="229"/>
      <c r="H217" s="128"/>
      <c r="I217" s="128"/>
      <c r="J217" s="128"/>
      <c r="K217" s="128"/>
      <c r="L217" s="227"/>
      <c r="M217" s="128"/>
      <c r="N217" s="227"/>
      <c r="O217" s="128"/>
      <c r="P217" s="227"/>
      <c r="Q217" s="228"/>
      <c r="R217" s="228"/>
      <c r="S217" s="228"/>
    </row>
    <row r="218" spans="2:19" ht="19.5" customHeight="1">
      <c r="B218" s="128"/>
      <c r="C218" s="128"/>
      <c r="D218" s="94"/>
      <c r="E218" s="94"/>
      <c r="F218" s="94"/>
      <c r="G218" s="229"/>
      <c r="H218" s="128"/>
      <c r="I218" s="128"/>
      <c r="J218" s="128"/>
      <c r="K218" s="128"/>
      <c r="L218" s="227"/>
      <c r="M218" s="128"/>
      <c r="N218" s="227"/>
      <c r="O218" s="128"/>
      <c r="P218" s="227"/>
      <c r="Q218" s="228"/>
      <c r="R218" s="228"/>
      <c r="S218" s="228"/>
    </row>
    <row r="219" spans="2:19" ht="19.5" customHeight="1">
      <c r="B219" s="128"/>
      <c r="C219" s="128"/>
      <c r="D219" s="94"/>
      <c r="E219" s="94"/>
      <c r="F219" s="94"/>
      <c r="G219" s="229"/>
      <c r="H219" s="128"/>
      <c r="I219" s="128"/>
      <c r="J219" s="128"/>
      <c r="K219" s="128"/>
      <c r="L219" s="227"/>
      <c r="M219" s="128"/>
      <c r="N219" s="227"/>
      <c r="O219" s="128"/>
      <c r="P219" s="227"/>
      <c r="Q219" s="228"/>
      <c r="R219" s="228"/>
      <c r="S219" s="228"/>
    </row>
    <row r="220" spans="2:19" ht="19.5" customHeight="1">
      <c r="B220" s="128"/>
      <c r="C220" s="128"/>
      <c r="D220" s="94"/>
      <c r="E220" s="94"/>
      <c r="F220" s="94"/>
      <c r="G220" s="229"/>
      <c r="H220" s="128"/>
      <c r="I220" s="128"/>
      <c r="J220" s="128"/>
      <c r="K220" s="128"/>
      <c r="L220" s="227"/>
      <c r="M220" s="128"/>
      <c r="N220" s="227"/>
      <c r="O220" s="128"/>
      <c r="P220" s="227"/>
      <c r="Q220" s="228"/>
      <c r="R220" s="228"/>
      <c r="S220" s="228"/>
    </row>
    <row r="221" spans="2:19" ht="19.5" customHeight="1">
      <c r="B221" s="128"/>
      <c r="C221" s="128"/>
      <c r="D221" s="94"/>
      <c r="E221" s="94"/>
      <c r="F221" s="94"/>
      <c r="G221" s="229"/>
      <c r="H221" s="128"/>
      <c r="I221" s="128"/>
      <c r="J221" s="128"/>
      <c r="K221" s="128"/>
      <c r="L221" s="227"/>
      <c r="M221" s="128"/>
      <c r="N221" s="227"/>
      <c r="O221" s="128"/>
      <c r="P221" s="227"/>
      <c r="Q221" s="228"/>
      <c r="R221" s="228"/>
      <c r="S221" s="228"/>
    </row>
    <row r="222" spans="2:19" ht="19.5" customHeight="1">
      <c r="B222" s="128"/>
      <c r="C222" s="128"/>
      <c r="D222" s="94"/>
      <c r="E222" s="94"/>
      <c r="F222" s="94"/>
      <c r="G222" s="229"/>
      <c r="H222" s="128"/>
      <c r="I222" s="128"/>
      <c r="J222" s="128"/>
      <c r="K222" s="128"/>
      <c r="L222" s="227"/>
      <c r="M222" s="128"/>
      <c r="N222" s="227"/>
      <c r="O222" s="128"/>
      <c r="P222" s="227"/>
      <c r="Q222" s="228"/>
      <c r="R222" s="228"/>
      <c r="S222" s="228"/>
    </row>
    <row r="223" spans="2:19" ht="19.5" customHeight="1">
      <c r="B223" s="128"/>
      <c r="C223" s="128"/>
      <c r="D223" s="94"/>
      <c r="E223" s="94"/>
      <c r="F223" s="94"/>
      <c r="G223" s="229"/>
      <c r="H223" s="128"/>
      <c r="I223" s="128"/>
      <c r="J223" s="128"/>
      <c r="K223" s="128"/>
      <c r="L223" s="227"/>
      <c r="M223" s="128"/>
      <c r="N223" s="227"/>
      <c r="O223" s="128"/>
      <c r="P223" s="227"/>
      <c r="Q223" s="228"/>
      <c r="R223" s="228"/>
      <c r="S223" s="228"/>
    </row>
    <row r="224" spans="2:19" ht="19.5" customHeight="1">
      <c r="B224" s="128"/>
      <c r="C224" s="128"/>
      <c r="D224" s="94"/>
      <c r="E224" s="94"/>
      <c r="F224" s="94"/>
      <c r="G224" s="229"/>
      <c r="H224" s="128"/>
      <c r="I224" s="128"/>
      <c r="J224" s="128"/>
      <c r="K224" s="128"/>
      <c r="L224" s="227"/>
      <c r="M224" s="128"/>
      <c r="N224" s="227"/>
      <c r="O224" s="128"/>
      <c r="P224" s="227"/>
      <c r="Q224" s="228"/>
      <c r="R224" s="228"/>
      <c r="S224" s="228"/>
    </row>
    <row r="225" spans="2:19" ht="19.5" customHeight="1">
      <c r="B225" s="128"/>
      <c r="C225" s="128"/>
      <c r="D225" s="94"/>
      <c r="E225" s="94"/>
      <c r="F225" s="94"/>
      <c r="G225" s="229"/>
      <c r="H225" s="128"/>
      <c r="I225" s="128"/>
      <c r="J225" s="128"/>
      <c r="K225" s="128"/>
      <c r="L225" s="227"/>
      <c r="M225" s="128"/>
      <c r="N225" s="227"/>
      <c r="O225" s="128"/>
      <c r="P225" s="227"/>
      <c r="Q225" s="228"/>
      <c r="R225" s="228"/>
      <c r="S225" s="228"/>
    </row>
  </sheetData>
  <mergeCells count="8">
    <mergeCell ref="A100:Q100"/>
    <mergeCell ref="A3:Q3"/>
    <mergeCell ref="M2:Q2"/>
    <mergeCell ref="Q13:Q14"/>
    <mergeCell ref="P13:P14"/>
    <mergeCell ref="P9:Q12"/>
    <mergeCell ref="A4:Q4"/>
    <mergeCell ref="A5:Q5"/>
  </mergeCells>
  <printOptions horizontalCentered="1"/>
  <pageMargins left="0" right="0" top="0.5905511811023623" bottom="0" header="0.5118110236220472" footer="0"/>
  <pageSetup blackAndWhite="1" horizontalDpi="300" verticalDpi="300" orientation="landscape" paperSize="9" scale="50" r:id="rId3"/>
  <headerFooter alignWithMargins="0">
    <oddFooter>&amp;L&amp;D   &amp;T&amp;C&amp;F</oddFooter>
  </headerFooter>
  <rowBreaks count="1" manualBreakCount="1">
    <brk id="58" max="1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</dc:creator>
  <cp:keywords/>
  <dc:description/>
  <cp:lastModifiedBy>Alina</cp:lastModifiedBy>
  <cp:lastPrinted>2013-02-25T15:50:50Z</cp:lastPrinted>
  <dcterms:created xsi:type="dcterms:W3CDTF">2013-02-25T15:45:01Z</dcterms:created>
  <dcterms:modified xsi:type="dcterms:W3CDTF">2013-02-25T15:51:09Z</dcterms:modified>
  <cp:category/>
  <cp:version/>
  <cp:contentType/>
  <cp:contentStatus/>
</cp:coreProperties>
</file>