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310" tabRatio="280" firstSheet="1" activeTab="1"/>
  </bookViews>
  <sheets>
    <sheet name="2017Ro calcule crestere" sheetId="1" state="hidden" r:id="rId1"/>
    <sheet name="2019Ro" sheetId="2" r:id="rId2"/>
  </sheets>
  <definedNames>
    <definedName name="Excel_BuiltIn_Print_Area" localSheetId="0">'2017Ro calcule crestere'!$A$1:$F$182</definedName>
    <definedName name="Excel_BuiltIn_Print_Area" localSheetId="1">'2019Ro'!$A$1:$A$167</definedName>
    <definedName name="_xlnm.Print_Area" localSheetId="0">'2017Ro calcule crestere'!$A$1:$BI$183</definedName>
    <definedName name="_xlnm.Print_Area" localSheetId="1">'2019Ro'!$A$1:$F$168</definedName>
  </definedNames>
  <calcPr fullCalcOnLoad="1"/>
</workbook>
</file>

<file path=xl/comments1.xml><?xml version="1.0" encoding="utf-8"?>
<comments xmlns="http://schemas.openxmlformats.org/spreadsheetml/2006/main">
  <authors>
    <author>SIMONA-DANA NICULAE</author>
  </authors>
  <commentList>
    <comment ref="AJ9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revizuit</t>
        </r>
      </text>
    </comment>
  </commentList>
</comments>
</file>

<file path=xl/sharedStrings.xml><?xml version="1.0" encoding="utf-8"?>
<sst xmlns="http://schemas.openxmlformats.org/spreadsheetml/2006/main" count="421" uniqueCount="155">
  <si>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</si>
  <si>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</si>
  <si>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</si>
  <si>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</si>
  <si>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</si>
  <si>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</si>
  <si>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</si>
  <si>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</si>
  <si>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</si>
  <si>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</si>
  <si>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</si>
  <si>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</si>
  <si>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</si>
  <si>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</si>
  <si>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</si>
  <si>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</si>
  <si>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</si>
  <si>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</si>
  <si>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4. Dupa piața de emisiune:</t>
  </si>
  <si>
    <t xml:space="preserve">        - datoria emisa pe piața interna</t>
  </si>
  <si>
    <t xml:space="preserve">        - datoria emisa pe piața externa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</si>
  <si>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</si>
  <si>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</si>
  <si>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</si>
  <si>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</si>
  <si>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</si>
  <si>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</si>
  <si>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</si>
  <si>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</si>
  <si>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</si>
  <si>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</si>
  <si>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</si>
  <si>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</si>
  <si>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</si>
  <si>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    d. Dupa piața de emisiune:</t>
  </si>
  <si>
    <t xml:space="preserve"> I. Datoria interna a administratiei publice, total</t>
  </si>
  <si>
    <t xml:space="preserve"> din care:</t>
  </si>
  <si>
    <t>4. Datoria emisa pe piața interna</t>
  </si>
  <si>
    <t>Datoria interna a administratiei publice centrale</t>
  </si>
  <si>
    <t xml:space="preserve">     d. Datoria emisa pe piața interna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</si>
  <si>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</si>
  <si>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</si>
  <si>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</si>
  <si>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</si>
  <si>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</si>
  <si>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</si>
  <si>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>4. Datoria emisa pe piața externa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</si>
  <si>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</si>
  <si>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</si>
  <si>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</si>
  <si>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</si>
  <si>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</si>
  <si>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</si>
  <si>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</si>
  <si>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      d) Datoria emisa pe piața externa</t>
  </si>
  <si>
    <t xml:space="preserve"> Datoria externa a administratiei publice locale</t>
  </si>
  <si>
    <t xml:space="preserve"> - Datoria emisa pe piața externa</t>
  </si>
  <si>
    <t xml:space="preserve"> - loans</t>
  </si>
  <si>
    <t>Datoria administratiei publice conform metodologiei UE*) (datoria guvernamentala)</t>
  </si>
  <si>
    <t xml:space="preserve">
Ianuarie 2015*)</t>
  </si>
  <si>
    <t xml:space="preserve">
Februarie 2015*)</t>
  </si>
  <si>
    <t>Datoria administratiei publice locale</t>
  </si>
  <si>
    <t>Datoria fondurilor de securitate sociala</t>
  </si>
  <si>
    <t xml:space="preserve"> - imprumuturi termen lung</t>
  </si>
  <si>
    <t xml:space="preserve">
Martie 2015*)</t>
  </si>
  <si>
    <t xml:space="preserve">
Aprilie 2015*)</t>
  </si>
  <si>
    <t>Trim 4</t>
  </si>
  <si>
    <t xml:space="preserve">
Mai 2015*)</t>
  </si>
  <si>
    <t>Iunie 2015*)</t>
  </si>
  <si>
    <t>Iulie 2015*)</t>
  </si>
  <si>
    <t>nov 2015</t>
  </si>
  <si>
    <t>August 2015*)</t>
  </si>
  <si>
    <t>Septembrie 2015*)</t>
  </si>
  <si>
    <t>Octombrie 2015*)</t>
  </si>
  <si>
    <t>Noiembrie 2015*)</t>
  </si>
  <si>
    <t>Ianuarie 2016*)</t>
  </si>
  <si>
    <t>Februarie 2016*)</t>
  </si>
  <si>
    <t>Martie 2016*)</t>
  </si>
  <si>
    <t>Trim.I</t>
  </si>
  <si>
    <t>Trim II</t>
  </si>
  <si>
    <t>Trim III</t>
  </si>
  <si>
    <t>Trim IV</t>
  </si>
  <si>
    <t>Aprilie 2016*)</t>
  </si>
  <si>
    <t>Mai 2016*)</t>
  </si>
  <si>
    <t>Iunie 2016*)</t>
  </si>
  <si>
    <t>Iulie 2016*)</t>
  </si>
  <si>
    <t>pt trim 1</t>
  </si>
  <si>
    <t>pt trim 2</t>
  </si>
  <si>
    <t>August 2016*)</t>
  </si>
  <si>
    <t>Septembrie 2016*)</t>
  </si>
  <si>
    <t>Octombrie 2016*)</t>
  </si>
  <si>
    <t>Noiembrie 2016*)</t>
  </si>
  <si>
    <t>pt trim 3</t>
  </si>
  <si>
    <t>Ianuarie 2017**)</t>
  </si>
  <si>
    <t>Februarie 2017**)</t>
  </si>
  <si>
    <t>ok</t>
  </si>
  <si>
    <t>extern</t>
  </si>
  <si>
    <t>trim I 2017</t>
  </si>
  <si>
    <t>Aprilie 2017*)</t>
  </si>
  <si>
    <t>Mai 2017*)</t>
  </si>
  <si>
    <t>Iunie 2017*)</t>
  </si>
  <si>
    <t>Iulie 2017*)</t>
  </si>
  <si>
    <t>trim II 2017</t>
  </si>
  <si>
    <t>August 2017*)</t>
  </si>
  <si>
    <t>OK</t>
  </si>
  <si>
    <t>Martie 2017*)</t>
  </si>
  <si>
    <t>Septembrie 2017*)</t>
  </si>
  <si>
    <t>Octombrie 2017*)</t>
  </si>
  <si>
    <t>trim III 2017</t>
  </si>
  <si>
    <t>Noiembrie2017*)</t>
  </si>
  <si>
    <t>Ianuarie 2018*)</t>
  </si>
  <si>
    <t>Trim IV 2017</t>
  </si>
  <si>
    <t>pt trim 4 2016</t>
  </si>
  <si>
    <t xml:space="preserve">*) datoria bruta, consolidata intra si intre sub-sectoarele administratiei publice. Date operative. </t>
  </si>
  <si>
    <t>Februarie 2018*)</t>
  </si>
  <si>
    <t>Aprilie 2018*)</t>
  </si>
  <si>
    <t>Trim I 2018</t>
  </si>
  <si>
    <t xml:space="preserve">Martie 2018*) </t>
  </si>
  <si>
    <t>Mai 2018*)</t>
  </si>
  <si>
    <t>June 2018*)</t>
  </si>
  <si>
    <t>Iulie 2018*)</t>
  </si>
  <si>
    <t xml:space="preserve">August 2018*) </t>
  </si>
  <si>
    <t>Trim II 2018</t>
  </si>
  <si>
    <t xml:space="preserve">Septembrie 2018*) </t>
  </si>
  <si>
    <t xml:space="preserve">Octombrie 2018*) </t>
  </si>
  <si>
    <t>Trim III 2018</t>
  </si>
  <si>
    <t xml:space="preserve">Noiembrie 2018*) </t>
  </si>
  <si>
    <t xml:space="preserve">Ianuarie 2019*) </t>
  </si>
  <si>
    <t>Date actualizate conform notificarii fiscale din Martie 2019</t>
  </si>
  <si>
    <t xml:space="preserve"> Februarie 2019**) </t>
  </si>
  <si>
    <t xml:space="preserve">Martie 2019**) </t>
  </si>
  <si>
    <t xml:space="preserve">PIB </t>
  </si>
  <si>
    <t xml:space="preserve">Aprilie 2019**) </t>
  </si>
  <si>
    <t>Trim I 2019</t>
  </si>
  <si>
    <t xml:space="preserve">Mai 2019**) </t>
  </si>
  <si>
    <t>**) PIB conform comunicat INS 6 iunie 2019</t>
  </si>
  <si>
    <t xml:space="preserve">Decembrie 2018*) </t>
  </si>
  <si>
    <t>Trim IV 2018</t>
  </si>
  <si>
    <t>Trim IV 2019</t>
  </si>
  <si>
    <t>Trim IV 2020</t>
  </si>
  <si>
    <t>Trim IV 2021</t>
  </si>
  <si>
    <t>crestere de datorie</t>
  </si>
  <si>
    <t>crestere deficit</t>
  </si>
  <si>
    <t>mld</t>
  </si>
  <si>
    <t>mil</t>
  </si>
  <si>
    <t>2016/2015</t>
  </si>
  <si>
    <t>2017/2016</t>
  </si>
  <si>
    <t>2018/2017</t>
  </si>
  <si>
    <t>deficite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</si>
  <si>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</si>
  <si>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</si>
  <si>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Decembrie 2018**) </t>
  </si>
  <si>
    <t>Decembrie 2019**)</t>
  </si>
  <si>
    <t>Date actualizate conform notificarii fiscale din Aprilie 2020</t>
  </si>
  <si>
    <t>**) PIB conform notificare fiscala din Aprilie 2020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</si>
</sst>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_-* #,##0.00\ _l_e_i_-;\-* #,##0.00\ _l_e_i_-;_-* \-??\ _l_e_i_-;_-@_-"/>
    <numFmt numFmtId="176" formatCode="_-* #,##0.0\ _l_e_i_-;\-* #,##0.0\ _l_e_i_-;_-* \-??\ _l_e_i_-;_-@_-"/>
    <numFmt numFmtId="177" formatCode="0.0"/>
    <numFmt numFmtId="178" formatCode="#,##0.0%"/>
    <numFmt numFmtId="179" formatCode="#,##0.0\ &quot;lei&quot;"/>
    <numFmt numFmtId="180" formatCode="#,##0.0000"/>
    <numFmt numFmtId="181" formatCode="0.000%"/>
    <numFmt numFmtId="182" formatCode="#,##0%"/>
    <numFmt numFmtId="183" formatCode="#,##0.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%"/>
  </numFmts>
  <fonts count="7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3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70C0"/>
      <name val="Arial"/>
      <family val="2"/>
    </font>
    <font>
      <b/>
      <i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173" fontId="7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 vertical="center"/>
    </xf>
    <xf numFmtId="173" fontId="1" fillId="33" borderId="10" xfId="0" applyNumberFormat="1" applyFont="1" applyFill="1" applyBorder="1" applyAlignment="1">
      <alignment/>
    </xf>
    <xf numFmtId="173" fontId="9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0" fillId="33" borderId="10" xfId="0" applyNumberForma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173" fontId="0" fillId="34" borderId="10" xfId="0" applyNumberFormat="1" applyFont="1" applyFill="1" applyBorder="1" applyAlignment="1">
      <alignment/>
    </xf>
    <xf numFmtId="173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3" fontId="2" fillId="33" borderId="10" xfId="0" applyNumberFormat="1" applyFont="1" applyFill="1" applyBorder="1" applyAlignment="1">
      <alignment vertical="top"/>
    </xf>
    <xf numFmtId="173" fontId="4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3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3" fontId="0" fillId="34" borderId="10" xfId="0" applyNumberFormat="1" applyFill="1" applyBorder="1" applyAlignment="1">
      <alignment/>
    </xf>
    <xf numFmtId="173" fontId="59" fillId="33" borderId="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0" fillId="33" borderId="11" xfId="0" applyNumberFormat="1" applyFill="1" applyBorder="1" applyAlignment="1">
      <alignment/>
    </xf>
    <xf numFmtId="173" fontId="5" fillId="33" borderId="0" xfId="0" applyNumberFormat="1" applyFont="1" applyFill="1" applyBorder="1" applyAlignment="1">
      <alignment horizontal="right"/>
    </xf>
    <xf numFmtId="173" fontId="0" fillId="33" borderId="0" xfId="0" applyNumberFormat="1" applyFill="1" applyBorder="1" applyAlignment="1">
      <alignment/>
    </xf>
    <xf numFmtId="173" fontId="0" fillId="33" borderId="0" xfId="0" applyNumberFormat="1" applyFill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173" fontId="0" fillId="33" borderId="12" xfId="0" applyNumberFormat="1" applyFont="1" applyFill="1" applyBorder="1" applyAlignment="1">
      <alignment horizontal="right"/>
    </xf>
    <xf numFmtId="173" fontId="0" fillId="33" borderId="0" xfId="0" applyNumberFormat="1" applyFont="1" applyFill="1" applyAlignment="1">
      <alignment horizontal="right"/>
    </xf>
    <xf numFmtId="173" fontId="10" fillId="33" borderId="10" xfId="0" applyNumberFormat="1" applyFont="1" applyFill="1" applyBorder="1" applyAlignment="1">
      <alignment/>
    </xf>
    <xf numFmtId="0" fontId="60" fillId="33" borderId="10" xfId="0" applyFont="1" applyFill="1" applyBorder="1" applyAlignment="1">
      <alignment horizontal="center" vertical="center"/>
    </xf>
    <xf numFmtId="10" fontId="60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172" fontId="0" fillId="33" borderId="0" xfId="0" applyNumberForma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4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3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3" xfId="0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2" fontId="0" fillId="33" borderId="0" xfId="0" applyNumberFormat="1" applyFill="1" applyAlignment="1">
      <alignment horizont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/>
    </xf>
    <xf numFmtId="173" fontId="0" fillId="33" borderId="0" xfId="0" applyNumberFormat="1" applyFill="1" applyAlignment="1">
      <alignment horizontal="center"/>
    </xf>
    <xf numFmtId="173" fontId="6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/>
    </xf>
    <xf numFmtId="174" fontId="0" fillId="34" borderId="1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73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5" borderId="0" xfId="0" applyFont="1" applyFill="1" applyAlignment="1">
      <alignment/>
    </xf>
    <xf numFmtId="173" fontId="61" fillId="33" borderId="0" xfId="0" applyNumberFormat="1" applyFont="1" applyFill="1" applyBorder="1" applyAlignment="1">
      <alignment horizontal="right"/>
    </xf>
    <xf numFmtId="173" fontId="62" fillId="33" borderId="0" xfId="0" applyNumberFormat="1" applyFont="1" applyFill="1" applyAlignment="1">
      <alignment horizontal="right"/>
    </xf>
    <xf numFmtId="173" fontId="2" fillId="33" borderId="10" xfId="0" applyNumberFormat="1" applyFont="1" applyFill="1" applyBorder="1" applyAlignment="1">
      <alignment vertical="center"/>
    </xf>
    <xf numFmtId="10" fontId="0" fillId="33" borderId="0" xfId="62" applyNumberFormat="1" applyFill="1" applyAlignment="1">
      <alignment horizontal="center"/>
    </xf>
    <xf numFmtId="172" fontId="0" fillId="33" borderId="0" xfId="62" applyNumberFormat="1" applyFill="1" applyAlignment="1">
      <alignment/>
    </xf>
    <xf numFmtId="0" fontId="63" fillId="33" borderId="0" xfId="0" applyFont="1" applyFill="1" applyAlignment="1">
      <alignment horizontal="center"/>
    </xf>
    <xf numFmtId="0" fontId="63" fillId="33" borderId="0" xfId="0" applyFont="1" applyFill="1" applyAlignment="1">
      <alignment/>
    </xf>
    <xf numFmtId="173" fontId="3" fillId="33" borderId="10" xfId="0" applyNumberFormat="1" applyFont="1" applyFill="1" applyBorder="1" applyAlignment="1">
      <alignment/>
    </xf>
    <xf numFmtId="173" fontId="8" fillId="33" borderId="10" xfId="0" applyNumberFormat="1" applyFont="1" applyFill="1" applyBorder="1" applyAlignment="1">
      <alignment/>
    </xf>
    <xf numFmtId="173" fontId="0" fillId="35" borderId="10" xfId="0" applyNumberFormat="1" applyFont="1" applyFill="1" applyBorder="1" applyAlignment="1">
      <alignment/>
    </xf>
    <xf numFmtId="173" fontId="0" fillId="35" borderId="1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173" fontId="62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/>
    </xf>
    <xf numFmtId="173" fontId="62" fillId="33" borderId="0" xfId="0" applyNumberFormat="1" applyFont="1" applyFill="1" applyBorder="1" applyAlignment="1">
      <alignment/>
    </xf>
    <xf numFmtId="0" fontId="62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0" fillId="33" borderId="14" xfId="0" applyFont="1" applyFill="1" applyBorder="1" applyAlignment="1">
      <alignment/>
    </xf>
    <xf numFmtId="173" fontId="0" fillId="33" borderId="12" xfId="0" applyNumberFormat="1" applyFont="1" applyFill="1" applyBorder="1" applyAlignment="1">
      <alignment/>
    </xf>
    <xf numFmtId="173" fontId="0" fillId="33" borderId="12" xfId="0" applyNumberFormat="1" applyFill="1" applyBorder="1" applyAlignment="1">
      <alignment/>
    </xf>
    <xf numFmtId="173" fontId="1" fillId="33" borderId="12" xfId="0" applyNumberFormat="1" applyFont="1" applyFill="1" applyBorder="1" applyAlignment="1">
      <alignment horizontal="right"/>
    </xf>
    <xf numFmtId="173" fontId="0" fillId="33" borderId="15" xfId="0" applyNumberFormat="1" applyFont="1" applyFill="1" applyBorder="1" applyAlignment="1">
      <alignment horizontal="right"/>
    </xf>
    <xf numFmtId="173" fontId="0" fillId="33" borderId="10" xfId="0" applyNumberFormat="1" applyFont="1" applyFill="1" applyBorder="1" applyAlignment="1">
      <alignment horizontal="right"/>
    </xf>
    <xf numFmtId="172" fontId="0" fillId="33" borderId="0" xfId="62" applyNumberFormat="1" applyFill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72" fontId="0" fillId="33" borderId="0" xfId="62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horizontal="right"/>
    </xf>
    <xf numFmtId="17" fontId="64" fillId="33" borderId="13" xfId="0" applyNumberFormat="1" applyFont="1" applyFill="1" applyBorder="1" applyAlignment="1">
      <alignment/>
    </xf>
    <xf numFmtId="17" fontId="65" fillId="33" borderId="13" xfId="0" applyNumberFormat="1" applyFont="1" applyFill="1" applyBorder="1" applyAlignment="1">
      <alignment/>
    </xf>
    <xf numFmtId="17" fontId="66" fillId="33" borderId="13" xfId="0" applyNumberFormat="1" applyFont="1" applyFill="1" applyBorder="1" applyAlignment="1">
      <alignment/>
    </xf>
    <xf numFmtId="0" fontId="66" fillId="33" borderId="13" xfId="0" applyFont="1" applyFill="1" applyBorder="1" applyAlignment="1">
      <alignment/>
    </xf>
    <xf numFmtId="173" fontId="64" fillId="33" borderId="13" xfId="0" applyNumberFormat="1" applyFont="1" applyFill="1" applyBorder="1" applyAlignment="1">
      <alignment horizontal="center"/>
    </xf>
    <xf numFmtId="173" fontId="65" fillId="33" borderId="13" xfId="0" applyNumberFormat="1" applyFont="1" applyFill="1" applyBorder="1" applyAlignment="1">
      <alignment horizontal="center"/>
    </xf>
    <xf numFmtId="0" fontId="65" fillId="33" borderId="13" xfId="0" applyFont="1" applyFill="1" applyBorder="1" applyAlignment="1">
      <alignment/>
    </xf>
    <xf numFmtId="173" fontId="66" fillId="33" borderId="13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center"/>
    </xf>
    <xf numFmtId="173" fontId="0" fillId="36" borderId="0" xfId="0" applyNumberFormat="1" applyFill="1" applyAlignment="1">
      <alignment/>
    </xf>
    <xf numFmtId="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4" fontId="0" fillId="33" borderId="0" xfId="0" applyNumberFormat="1" applyFill="1" applyAlignment="1">
      <alignment horizontal="center"/>
    </xf>
    <xf numFmtId="173" fontId="60" fillId="33" borderId="10" xfId="0" applyNumberFormat="1" applyFont="1" applyFill="1" applyBorder="1" applyAlignment="1">
      <alignment/>
    </xf>
    <xf numFmtId="172" fontId="60" fillId="33" borderId="10" xfId="0" applyNumberFormat="1" applyFont="1" applyFill="1" applyBorder="1" applyAlignment="1">
      <alignment horizontal="center" vertical="center"/>
    </xf>
    <xf numFmtId="181" fontId="0" fillId="33" borderId="0" xfId="0" applyNumberFormat="1" applyFill="1" applyAlignment="1">
      <alignment horizontal="center"/>
    </xf>
    <xf numFmtId="188" fontId="0" fillId="33" borderId="0" xfId="0" applyNumberFormat="1" applyFill="1" applyAlignment="1">
      <alignment horizontal="center"/>
    </xf>
    <xf numFmtId="188" fontId="63" fillId="33" borderId="0" xfId="0" applyNumberFormat="1" applyFont="1" applyFill="1" applyAlignment="1">
      <alignment horizontal="center"/>
    </xf>
    <xf numFmtId="173" fontId="0" fillId="33" borderId="16" xfId="0" applyNumberFormat="1" applyFill="1" applyBorder="1" applyAlignment="1">
      <alignment/>
    </xf>
    <xf numFmtId="1" fontId="0" fillId="33" borderId="11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73" fontId="0" fillId="33" borderId="19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72" fontId="60" fillId="33" borderId="10" xfId="0" applyNumberFormat="1" applyFont="1" applyFill="1" applyBorder="1" applyAlignment="1">
      <alignment/>
    </xf>
    <xf numFmtId="0" fontId="66" fillId="33" borderId="0" xfId="0" applyFont="1" applyFill="1" applyAlignment="1">
      <alignment/>
    </xf>
    <xf numFmtId="173" fontId="66" fillId="33" borderId="0" xfId="0" applyNumberFormat="1" applyFont="1" applyFill="1" applyAlignment="1">
      <alignment/>
    </xf>
    <xf numFmtId="0" fontId="67" fillId="33" borderId="0" xfId="0" applyFont="1" applyFill="1" applyAlignment="1">
      <alignment/>
    </xf>
    <xf numFmtId="0" fontId="67" fillId="33" borderId="0" xfId="0" applyFont="1" applyFill="1" applyAlignment="1">
      <alignment horizontal="right"/>
    </xf>
    <xf numFmtId="173" fontId="68" fillId="33" borderId="10" xfId="0" applyNumberFormat="1" applyFont="1" applyFill="1" applyBorder="1" applyAlignment="1">
      <alignment vertical="center"/>
    </xf>
    <xf numFmtId="10" fontId="68" fillId="33" borderId="10" xfId="0" applyNumberFormat="1" applyFont="1" applyFill="1" applyBorder="1" applyAlignment="1">
      <alignment horizontal="center" vertical="center"/>
    </xf>
    <xf numFmtId="173" fontId="67" fillId="33" borderId="10" xfId="0" applyNumberFormat="1" applyFont="1" applyFill="1" applyBorder="1" applyAlignment="1">
      <alignment/>
    </xf>
    <xf numFmtId="173" fontId="59" fillId="33" borderId="10" xfId="0" applyNumberFormat="1" applyFont="1" applyFill="1" applyBorder="1" applyAlignment="1">
      <alignment/>
    </xf>
    <xf numFmtId="173" fontId="67" fillId="34" borderId="10" xfId="0" applyNumberFormat="1" applyFont="1" applyFill="1" applyBorder="1" applyAlignment="1">
      <alignment/>
    </xf>
    <xf numFmtId="173" fontId="69" fillId="33" borderId="10" xfId="0" applyNumberFormat="1" applyFont="1" applyFill="1" applyBorder="1" applyAlignment="1">
      <alignment/>
    </xf>
    <xf numFmtId="173" fontId="68" fillId="33" borderId="10" xfId="0" applyNumberFormat="1" applyFont="1" applyFill="1" applyBorder="1" applyAlignment="1">
      <alignment/>
    </xf>
    <xf numFmtId="173" fontId="68" fillId="33" borderId="10" xfId="0" applyNumberFormat="1" applyFont="1" applyFill="1" applyBorder="1" applyAlignment="1">
      <alignment horizontal="center" vertical="center"/>
    </xf>
    <xf numFmtId="172" fontId="68" fillId="33" borderId="10" xfId="0" applyNumberFormat="1" applyFont="1" applyFill="1" applyBorder="1" applyAlignment="1">
      <alignment horizontal="center" vertical="center"/>
    </xf>
    <xf numFmtId="173" fontId="67" fillId="33" borderId="16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73" fontId="0" fillId="33" borderId="13" xfId="0" applyNumberFormat="1" applyFill="1" applyBorder="1" applyAlignment="1">
      <alignment horizontal="center"/>
    </xf>
    <xf numFmtId="177" fontId="0" fillId="33" borderId="0" xfId="0" applyNumberFormat="1" applyFill="1" applyAlignment="1">
      <alignment/>
    </xf>
    <xf numFmtId="0" fontId="2" fillId="33" borderId="11" xfId="0" applyFont="1" applyFill="1" applyBorder="1" applyAlignment="1">
      <alignment/>
    </xf>
    <xf numFmtId="0" fontId="70" fillId="36" borderId="10" xfId="0" applyFont="1" applyFill="1" applyBorder="1" applyAlignment="1">
      <alignment/>
    </xf>
    <xf numFmtId="173" fontId="70" fillId="36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2" fillId="34" borderId="10" xfId="0" applyFont="1" applyFill="1" applyBorder="1" applyAlignment="1">
      <alignment/>
    </xf>
    <xf numFmtId="173" fontId="61" fillId="34" borderId="10" xfId="0" applyNumberFormat="1" applyFont="1" applyFill="1" applyBorder="1" applyAlignment="1">
      <alignment/>
    </xf>
    <xf numFmtId="172" fontId="62" fillId="33" borderId="0" xfId="0" applyNumberFormat="1" applyFont="1" applyFill="1" applyAlignment="1">
      <alignment horizontal="center"/>
    </xf>
    <xf numFmtId="0" fontId="71" fillId="33" borderId="0" xfId="0" applyFont="1" applyFill="1" applyAlignment="1">
      <alignment/>
    </xf>
    <xf numFmtId="173" fontId="62" fillId="34" borderId="10" xfId="0" applyNumberFormat="1" applyFont="1" applyFill="1" applyBorder="1" applyAlignment="1">
      <alignment/>
    </xf>
    <xf numFmtId="173" fontId="62" fillId="34" borderId="0" xfId="0" applyNumberFormat="1" applyFont="1" applyFill="1" applyBorder="1" applyAlignment="1">
      <alignment/>
    </xf>
    <xf numFmtId="173" fontId="67" fillId="33" borderId="0" xfId="0" applyNumberFormat="1" applyFont="1" applyFill="1" applyBorder="1" applyAlignment="1">
      <alignment/>
    </xf>
    <xf numFmtId="173" fontId="0" fillId="33" borderId="16" xfId="0" applyNumberFormat="1" applyFont="1" applyFill="1" applyBorder="1" applyAlignment="1">
      <alignment/>
    </xf>
    <xf numFmtId="0" fontId="17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17" fontId="64" fillId="33" borderId="0" xfId="0" applyNumberFormat="1" applyFont="1" applyFill="1" applyBorder="1" applyAlignment="1">
      <alignment/>
    </xf>
    <xf numFmtId="17" fontId="65" fillId="33" borderId="0" xfId="0" applyNumberFormat="1" applyFont="1" applyFill="1" applyBorder="1" applyAlignment="1">
      <alignment/>
    </xf>
    <xf numFmtId="17" fontId="66" fillId="33" borderId="0" xfId="0" applyNumberFormat="1" applyFont="1" applyFill="1" applyBorder="1" applyAlignment="1">
      <alignment/>
    </xf>
    <xf numFmtId="0" fontId="66" fillId="33" borderId="0" xfId="0" applyFont="1" applyFill="1" applyBorder="1" applyAlignment="1">
      <alignment/>
    </xf>
    <xf numFmtId="173" fontId="64" fillId="33" borderId="0" xfId="0" applyNumberFormat="1" applyFont="1" applyFill="1" applyBorder="1" applyAlignment="1">
      <alignment horizontal="center"/>
    </xf>
    <xf numFmtId="173" fontId="65" fillId="33" borderId="0" xfId="0" applyNumberFormat="1" applyFont="1" applyFill="1" applyBorder="1" applyAlignment="1">
      <alignment horizontal="center"/>
    </xf>
    <xf numFmtId="0" fontId="65" fillId="33" borderId="0" xfId="0" applyFont="1" applyFill="1" applyBorder="1" applyAlignment="1">
      <alignment/>
    </xf>
    <xf numFmtId="173" fontId="66" fillId="33" borderId="0" xfId="0" applyNumberFormat="1" applyFont="1" applyFill="1" applyBorder="1" applyAlignment="1">
      <alignment/>
    </xf>
    <xf numFmtId="173" fontId="68" fillId="33" borderId="16" xfId="0" applyNumberFormat="1" applyFont="1" applyFill="1" applyBorder="1" applyAlignment="1">
      <alignment horizontal="center" vertical="center"/>
    </xf>
    <xf numFmtId="172" fontId="68" fillId="33" borderId="16" xfId="0" applyNumberFormat="1" applyFont="1" applyFill="1" applyBorder="1" applyAlignment="1">
      <alignment horizontal="center" vertical="center"/>
    </xf>
    <xf numFmtId="173" fontId="69" fillId="33" borderId="16" xfId="0" applyNumberFormat="1" applyFont="1" applyFill="1" applyBorder="1" applyAlignment="1">
      <alignment/>
    </xf>
    <xf numFmtId="173" fontId="60" fillId="33" borderId="16" xfId="0" applyNumberFormat="1" applyFont="1" applyFill="1" applyBorder="1" applyAlignment="1">
      <alignment/>
    </xf>
    <xf numFmtId="173" fontId="67" fillId="34" borderId="16" xfId="0" applyNumberFormat="1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17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4" fontId="0" fillId="33" borderId="0" xfId="0" applyNumberFormat="1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173" fontId="6" fillId="33" borderId="0" xfId="0" applyNumberFormat="1" applyFont="1" applyFill="1" applyBorder="1" applyAlignment="1">
      <alignment/>
    </xf>
    <xf numFmtId="173" fontId="0" fillId="36" borderId="0" xfId="0" applyNumberForma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2" fontId="6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68" fillId="33" borderId="20" xfId="0" applyNumberFormat="1" applyFont="1" applyFill="1" applyBorder="1" applyAlignment="1">
      <alignment horizontal="center" vertical="center" wrapText="1"/>
    </xf>
    <xf numFmtId="0" fontId="68" fillId="33" borderId="2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17" fillId="33" borderId="0" xfId="0" applyFont="1" applyFill="1" applyAlignment="1">
      <alignment horizontal="left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68" fillId="33" borderId="23" xfId="0" applyNumberFormat="1" applyFont="1" applyFill="1" applyBorder="1" applyAlignment="1" quotePrefix="1">
      <alignment horizontal="center" vertical="center" wrapText="1"/>
    </xf>
    <xf numFmtId="0" fontId="68" fillId="33" borderId="14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03"/>
  <sheetViews>
    <sheetView view="pageBreakPreview" zoomScale="85" zoomScaleSheetLayoutView="85" zoomScalePageLayoutView="0" workbookViewId="0" topLeftCell="A134">
      <selection activeCell="BN151" sqref="BN151"/>
    </sheetView>
  </sheetViews>
  <sheetFormatPr defaultColWidth="8.8515625" defaultRowHeight="12.75"/>
  <cols>
    <col min="1" max="1" width="37.00390625" style="11" customWidth="1"/>
    <col min="2" max="3" width="9.7109375" style="11" bestFit="1" customWidth="1"/>
    <col min="4" max="4" width="9.7109375" style="37" bestFit="1" customWidth="1"/>
    <col min="5" max="5" width="9.7109375" style="11" bestFit="1" customWidth="1"/>
    <col min="6" max="6" width="10.28125" style="11" customWidth="1"/>
    <col min="7" max="7" width="10.00390625" style="11" hidden="1" customWidth="1"/>
    <col min="8" max="8" width="9.57421875" style="11" hidden="1" customWidth="1"/>
    <col min="9" max="9" width="9.7109375" style="11" hidden="1" customWidth="1"/>
    <col min="10" max="10" width="9.28125" style="11" hidden="1" customWidth="1"/>
    <col min="11" max="11" width="9.7109375" style="11" hidden="1" customWidth="1"/>
    <col min="12" max="12" width="9.8515625" style="11" hidden="1" customWidth="1"/>
    <col min="13" max="13" width="8.28125" style="11" hidden="1" customWidth="1"/>
    <col min="14" max="14" width="9.7109375" style="11" hidden="1" customWidth="1"/>
    <col min="15" max="15" width="11.28125" style="11" hidden="1" customWidth="1"/>
    <col min="16" max="16" width="7.421875" style="11" hidden="1" customWidth="1"/>
    <col min="17" max="17" width="11.28125" style="11" hidden="1" customWidth="1"/>
    <col min="18" max="18" width="10.28125" style="11" customWidth="1"/>
    <col min="19" max="19" width="14.00390625" style="11" hidden="1" customWidth="1"/>
    <col min="20" max="20" width="15.421875" style="11" hidden="1" customWidth="1"/>
    <col min="21" max="21" width="12.140625" style="11" hidden="1" customWidth="1"/>
    <col min="22" max="22" width="12.421875" style="11" hidden="1" customWidth="1"/>
    <col min="23" max="23" width="9.8515625" style="11" hidden="1" customWidth="1"/>
    <col min="24" max="24" width="11.140625" style="11" hidden="1" customWidth="1"/>
    <col min="25" max="25" width="10.421875" style="11" hidden="1" customWidth="1"/>
    <col min="26" max="26" width="13.28125" style="11" hidden="1" customWidth="1"/>
    <col min="27" max="27" width="12.57421875" style="11" hidden="1" customWidth="1"/>
    <col min="28" max="28" width="16.28125" style="11" hidden="1" customWidth="1"/>
    <col min="29" max="29" width="15.8515625" style="11" hidden="1" customWidth="1"/>
    <col min="30" max="30" width="10.8515625" style="11" customWidth="1"/>
    <col min="31" max="31" width="11.28125" style="11" hidden="1" customWidth="1"/>
    <col min="32" max="32" width="10.28125" style="11" hidden="1" customWidth="1"/>
    <col min="33" max="33" width="10.7109375" style="11" hidden="1" customWidth="1"/>
    <col min="34" max="34" width="11.28125" style="11" hidden="1" customWidth="1"/>
    <col min="35" max="36" width="10.57421875" style="11" hidden="1" customWidth="1"/>
    <col min="37" max="37" width="5.140625" style="11" hidden="1" customWidth="1"/>
    <col min="38" max="38" width="11.421875" style="11" hidden="1" customWidth="1"/>
    <col min="39" max="39" width="10.8515625" style="11" hidden="1" customWidth="1"/>
    <col min="40" max="40" width="10.7109375" style="11" hidden="1" customWidth="1"/>
    <col min="41" max="41" width="10.28125" style="11" hidden="1" customWidth="1"/>
    <col min="42" max="42" width="11.00390625" style="11" customWidth="1"/>
    <col min="43" max="43" width="10.8515625" style="11" hidden="1" customWidth="1"/>
    <col min="44" max="44" width="15.421875" style="11" hidden="1" customWidth="1"/>
    <col min="45" max="45" width="12.140625" style="11" hidden="1" customWidth="1"/>
    <col min="46" max="46" width="12.421875" style="11" hidden="1" customWidth="1"/>
    <col min="47" max="47" width="9.8515625" style="11" hidden="1" customWidth="1"/>
    <col min="48" max="50" width="10.28125" style="11" hidden="1" customWidth="1"/>
    <col min="51" max="51" width="17.7109375" style="11" hidden="1" customWidth="1"/>
    <col min="52" max="52" width="16.57421875" style="11" hidden="1" customWidth="1"/>
    <col min="53" max="53" width="16.421875" style="11" hidden="1" customWidth="1"/>
    <col min="54" max="54" width="11.8515625" style="11" customWidth="1"/>
    <col min="55" max="55" width="14.421875" style="11" hidden="1" customWidth="1"/>
    <col min="56" max="56" width="17.28125" style="11" hidden="1" customWidth="1"/>
    <col min="57" max="58" width="13.57421875" style="11" hidden="1" customWidth="1"/>
    <col min="59" max="59" width="11.421875" style="11" customWidth="1"/>
    <col min="60" max="60" width="13.140625" style="38" customWidth="1"/>
    <col min="61" max="61" width="12.28125" style="38" bestFit="1" customWidth="1"/>
    <col min="62" max="62" width="10.28125" style="11" bestFit="1" customWidth="1"/>
    <col min="63" max="63" width="13.421875" style="11" bestFit="1" customWidth="1"/>
    <col min="64" max="64" width="13.57421875" style="11" customWidth="1"/>
    <col min="65" max="65" width="9.7109375" style="11" bestFit="1" customWidth="1"/>
    <col min="66" max="66" width="8.7109375" style="11" bestFit="1" customWidth="1"/>
    <col min="67" max="67" width="9.140625" style="11" bestFit="1" customWidth="1"/>
    <col min="68" max="68" width="18.7109375" style="11" customWidth="1"/>
    <col min="69" max="16384" width="8.8515625" style="11" customWidth="1"/>
  </cols>
  <sheetData>
    <row r="1" spans="2:61" ht="12.75">
      <c r="B1" s="36"/>
      <c r="F1" s="148" t="s">
        <v>142</v>
      </c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151" t="s">
        <v>145</v>
      </c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51" t="s">
        <v>146</v>
      </c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151" t="s">
        <v>147</v>
      </c>
      <c r="BC1" s="43"/>
      <c r="BD1" s="43"/>
      <c r="BE1" s="43"/>
      <c r="BF1" s="43"/>
      <c r="BG1" s="148" t="s">
        <v>143</v>
      </c>
      <c r="BH1" s="154" t="s">
        <v>148</v>
      </c>
      <c r="BI1" s="154" t="s">
        <v>143</v>
      </c>
    </row>
    <row r="2" spans="1:63" ht="12.75">
      <c r="A2" s="39"/>
      <c r="B2" s="36"/>
      <c r="AD2" s="147">
        <f>BI3-BI2</f>
        <v>8.600000000000001</v>
      </c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>
        <f>BI4-BI3</f>
        <v>6</v>
      </c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>
        <f>BI5-BI4</f>
        <v>2.599999999999998</v>
      </c>
      <c r="BC2" s="147"/>
      <c r="BD2" s="147"/>
      <c r="BE2" s="147"/>
      <c r="BF2" s="147"/>
      <c r="BG2" s="147">
        <f>BI6-BI5</f>
        <v>1.3000000000000007</v>
      </c>
      <c r="BH2" s="50">
        <v>2015</v>
      </c>
      <c r="BI2" s="153">
        <v>9.7</v>
      </c>
      <c r="BK2" s="40"/>
    </row>
    <row r="3" spans="1:62" ht="12.75">
      <c r="A3" s="39"/>
      <c r="B3" s="36"/>
      <c r="BH3" s="50">
        <v>2016</v>
      </c>
      <c r="BI3" s="153">
        <v>18.3</v>
      </c>
      <c r="BJ3" s="38"/>
    </row>
    <row r="4" spans="1:63" ht="12.75">
      <c r="A4" s="41" t="s">
        <v>58</v>
      </c>
      <c r="B4" s="42"/>
      <c r="C4" s="43"/>
      <c r="D4" s="44"/>
      <c r="BH4" s="50">
        <v>2017</v>
      </c>
      <c r="BI4" s="153">
        <v>24.3</v>
      </c>
      <c r="BJ4" s="38"/>
      <c r="BK4" s="40"/>
    </row>
    <row r="5" spans="1:62" ht="12.75">
      <c r="A5" s="45"/>
      <c r="B5" s="36"/>
      <c r="F5" s="148" t="s">
        <v>141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151" t="s">
        <v>145</v>
      </c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 t="s">
        <v>146</v>
      </c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 t="s">
        <v>147</v>
      </c>
      <c r="BC5" s="151"/>
      <c r="BD5" s="151"/>
      <c r="BE5" s="151"/>
      <c r="BF5" s="151"/>
      <c r="BG5" s="152" t="s">
        <v>144</v>
      </c>
      <c r="BH5" s="50">
        <v>2018</v>
      </c>
      <c r="BI5" s="153">
        <v>26.9</v>
      </c>
      <c r="BJ5" s="38"/>
    </row>
    <row r="6" spans="1:63" ht="12.75">
      <c r="A6" s="206" t="s">
        <v>128</v>
      </c>
      <c r="B6" s="206"/>
      <c r="C6" s="206"/>
      <c r="D6" s="206"/>
      <c r="E6" s="46"/>
      <c r="R6" s="27"/>
      <c r="AD6" s="27">
        <f>AD11-R11</f>
        <v>16401.800000000047</v>
      </c>
      <c r="AP6" s="27">
        <f>AP11-AD11</f>
        <v>15605.400000000023</v>
      </c>
      <c r="BB6" s="27">
        <f>BB11-AP11</f>
        <v>28888.417827999918</v>
      </c>
      <c r="BG6" s="27">
        <f>362623-BB11</f>
        <v>32576.082172000024</v>
      </c>
      <c r="BH6" s="50">
        <v>2019</v>
      </c>
      <c r="BI6" s="153">
        <v>28.2</v>
      </c>
      <c r="BJ6" s="38"/>
      <c r="BK6" s="40"/>
    </row>
    <row r="7" spans="1:62" ht="12.75">
      <c r="A7" s="39"/>
      <c r="B7" s="36"/>
      <c r="C7" s="46">
        <f>C16/C11</f>
        <v>0.7681892826001435</v>
      </c>
      <c r="D7" s="47"/>
      <c r="E7" s="47"/>
      <c r="BJ7" s="38"/>
    </row>
    <row r="8" spans="1:63" ht="12.75">
      <c r="A8" s="45"/>
      <c r="D8" s="48"/>
      <c r="E8" s="48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F8" s="49"/>
      <c r="BG8" s="133" t="s">
        <v>0</v>
      </c>
      <c r="BJ8" s="38"/>
      <c r="BK8" s="40"/>
    </row>
    <row r="9" spans="1:62" ht="13.5" customHeight="1">
      <c r="A9" s="195" t="s">
        <v>1</v>
      </c>
      <c r="B9" s="195">
        <v>2010</v>
      </c>
      <c r="C9" s="207">
        <v>2011</v>
      </c>
      <c r="D9" s="204">
        <v>2012</v>
      </c>
      <c r="E9" s="204">
        <v>2013</v>
      </c>
      <c r="F9" s="204">
        <v>2014</v>
      </c>
      <c r="G9" s="204" t="s">
        <v>59</v>
      </c>
      <c r="H9" s="204" t="s">
        <v>60</v>
      </c>
      <c r="I9" s="204" t="s">
        <v>64</v>
      </c>
      <c r="J9" s="204" t="s">
        <v>65</v>
      </c>
      <c r="K9" s="204" t="s">
        <v>67</v>
      </c>
      <c r="L9" s="204" t="s">
        <v>68</v>
      </c>
      <c r="M9" s="204" t="s">
        <v>69</v>
      </c>
      <c r="N9" s="204" t="s">
        <v>71</v>
      </c>
      <c r="O9" s="204" t="s">
        <v>72</v>
      </c>
      <c r="P9" s="204" t="s">
        <v>73</v>
      </c>
      <c r="Q9" s="204" t="s">
        <v>74</v>
      </c>
      <c r="R9" s="200">
        <v>2015</v>
      </c>
      <c r="S9" s="204" t="s">
        <v>75</v>
      </c>
      <c r="T9" s="204" t="s">
        <v>76</v>
      </c>
      <c r="U9" s="204" t="s">
        <v>77</v>
      </c>
      <c r="V9" s="204" t="s">
        <v>82</v>
      </c>
      <c r="W9" s="204" t="s">
        <v>83</v>
      </c>
      <c r="X9" s="204" t="s">
        <v>84</v>
      </c>
      <c r="Y9" s="204" t="s">
        <v>85</v>
      </c>
      <c r="Z9" s="200" t="s">
        <v>88</v>
      </c>
      <c r="AA9" s="200" t="s">
        <v>89</v>
      </c>
      <c r="AB9" s="200" t="s">
        <v>90</v>
      </c>
      <c r="AC9" s="200" t="s">
        <v>91</v>
      </c>
      <c r="AD9" s="200">
        <v>2016</v>
      </c>
      <c r="AE9" s="200" t="s">
        <v>93</v>
      </c>
      <c r="AF9" s="200" t="s">
        <v>94</v>
      </c>
      <c r="AG9" s="200" t="s">
        <v>105</v>
      </c>
      <c r="AH9" s="200" t="s">
        <v>98</v>
      </c>
      <c r="AI9" s="200" t="s">
        <v>99</v>
      </c>
      <c r="AJ9" s="200" t="s">
        <v>100</v>
      </c>
      <c r="AK9" s="200" t="s">
        <v>101</v>
      </c>
      <c r="AL9" s="200" t="s">
        <v>103</v>
      </c>
      <c r="AM9" s="200" t="s">
        <v>106</v>
      </c>
      <c r="AN9" s="200" t="s">
        <v>107</v>
      </c>
      <c r="AO9" s="200" t="s">
        <v>109</v>
      </c>
      <c r="AP9" s="200">
        <v>2017</v>
      </c>
      <c r="AQ9" s="200" t="s">
        <v>110</v>
      </c>
      <c r="AR9" s="200" t="s">
        <v>114</v>
      </c>
      <c r="AS9" s="200" t="s">
        <v>117</v>
      </c>
      <c r="AT9" s="200" t="s">
        <v>115</v>
      </c>
      <c r="AU9" s="200" t="s">
        <v>118</v>
      </c>
      <c r="AV9" s="200" t="s">
        <v>119</v>
      </c>
      <c r="AW9" s="200" t="s">
        <v>120</v>
      </c>
      <c r="AX9" s="200" t="s">
        <v>121</v>
      </c>
      <c r="AY9" s="200" t="s">
        <v>123</v>
      </c>
      <c r="AZ9" s="200" t="s">
        <v>124</v>
      </c>
      <c r="BA9" s="200" t="s">
        <v>126</v>
      </c>
      <c r="BB9" s="200" t="s">
        <v>136</v>
      </c>
      <c r="BC9" s="200" t="s">
        <v>127</v>
      </c>
      <c r="BD9" s="200" t="s">
        <v>129</v>
      </c>
      <c r="BE9" s="200" t="s">
        <v>130</v>
      </c>
      <c r="BF9" s="200" t="s">
        <v>132</v>
      </c>
      <c r="BG9" s="202" t="s">
        <v>134</v>
      </c>
      <c r="BJ9" s="38"/>
    </row>
    <row r="10" spans="1:63" ht="26.25" customHeight="1">
      <c r="A10" s="195"/>
      <c r="B10" s="195"/>
      <c r="C10" s="207"/>
      <c r="D10" s="204"/>
      <c r="E10" s="204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1"/>
      <c r="S10" s="205"/>
      <c r="T10" s="205"/>
      <c r="U10" s="205"/>
      <c r="V10" s="205"/>
      <c r="W10" s="205"/>
      <c r="X10" s="205"/>
      <c r="Y10" s="205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3"/>
      <c r="BK10" s="40"/>
    </row>
    <row r="11" spans="1:60" ht="29.25" customHeight="1">
      <c r="A11" s="51" t="s">
        <v>2</v>
      </c>
      <c r="B11" s="52">
        <f aca="true" t="shared" si="0" ref="B11:BC11">B15+B16</f>
        <v>157410.398752</v>
      </c>
      <c r="C11" s="52">
        <f t="shared" si="0"/>
        <v>191035.30432380002</v>
      </c>
      <c r="D11" s="15">
        <f t="shared" si="0"/>
        <v>219761.5341415</v>
      </c>
      <c r="E11" s="15">
        <f t="shared" si="0"/>
        <v>238882.3102059</v>
      </c>
      <c r="F11" s="15">
        <f t="shared" si="0"/>
        <v>262195.224812</v>
      </c>
      <c r="G11" s="15">
        <f t="shared" si="0"/>
        <v>259610.89566700003</v>
      </c>
      <c r="H11" s="15">
        <f t="shared" si="0"/>
        <v>265163.936723</v>
      </c>
      <c r="I11" s="15">
        <f t="shared" si="0"/>
        <v>256093.80000000002</v>
      </c>
      <c r="J11" s="15">
        <f t="shared" si="0"/>
        <v>254159.753754</v>
      </c>
      <c r="K11" s="15">
        <f t="shared" si="0"/>
        <v>257933.5554505</v>
      </c>
      <c r="L11" s="15">
        <f t="shared" si="0"/>
        <v>255066.57</v>
      </c>
      <c r="M11" s="15">
        <f t="shared" si="0"/>
        <v>254628.26693599997</v>
      </c>
      <c r="N11" s="15">
        <f t="shared" si="0"/>
        <v>257257.00494200003</v>
      </c>
      <c r="O11" s="15">
        <f t="shared" si="0"/>
        <v>254583.3</v>
      </c>
      <c r="P11" s="15">
        <f t="shared" si="0"/>
        <v>264781.461478</v>
      </c>
      <c r="Q11" s="15">
        <f t="shared" si="0"/>
        <v>268688.81311499997</v>
      </c>
      <c r="R11" s="15">
        <f t="shared" si="0"/>
        <v>269151.3</v>
      </c>
      <c r="S11" s="15">
        <f t="shared" si="0"/>
        <v>268325.36275100004</v>
      </c>
      <c r="T11" s="15">
        <f t="shared" si="0"/>
        <v>272056.22688000003</v>
      </c>
      <c r="U11" s="15">
        <f t="shared" si="0"/>
        <v>266245.624946</v>
      </c>
      <c r="V11" s="15">
        <f t="shared" si="0"/>
        <v>276468.54686799995</v>
      </c>
      <c r="W11" s="15">
        <f t="shared" si="0"/>
        <v>277906.06142</v>
      </c>
      <c r="X11" s="15">
        <f t="shared" si="0"/>
        <v>268824.04348</v>
      </c>
      <c r="Y11" s="15">
        <f t="shared" si="0"/>
        <v>274594.73091</v>
      </c>
      <c r="Z11" s="15">
        <f t="shared" si="0"/>
        <v>267683.50351999997</v>
      </c>
      <c r="AA11" s="15">
        <f t="shared" si="0"/>
        <v>269172.98183400003</v>
      </c>
      <c r="AB11" s="15">
        <f t="shared" si="0"/>
        <v>279570.889609</v>
      </c>
      <c r="AC11" s="15">
        <f t="shared" si="0"/>
        <v>282416.40744000004</v>
      </c>
      <c r="AD11" s="15">
        <f t="shared" si="0"/>
        <v>285553.10000000003</v>
      </c>
      <c r="AE11" s="15">
        <f t="shared" si="0"/>
        <v>282795.121228</v>
      </c>
      <c r="AF11" s="15">
        <f t="shared" si="0"/>
        <v>285551.22592000006</v>
      </c>
      <c r="AG11" s="15">
        <f t="shared" si="0"/>
        <v>288607.7</v>
      </c>
      <c r="AH11" s="15">
        <f t="shared" si="0"/>
        <v>299437.336986</v>
      </c>
      <c r="AI11" s="15">
        <f t="shared" si="0"/>
        <v>301096.83683399996</v>
      </c>
      <c r="AJ11" s="15">
        <f t="shared" si="0"/>
        <v>296305.69999999995</v>
      </c>
      <c r="AK11" s="15">
        <f t="shared" si="0"/>
        <v>294240.564206</v>
      </c>
      <c r="AL11" s="15">
        <f t="shared" si="0"/>
        <v>298120.57381800003</v>
      </c>
      <c r="AM11" s="15">
        <f t="shared" si="0"/>
        <v>294647.007021</v>
      </c>
      <c r="AN11" s="15">
        <f t="shared" si="0"/>
        <v>300144.3084</v>
      </c>
      <c r="AO11" s="15">
        <f t="shared" si="0"/>
        <v>301664.9556624</v>
      </c>
      <c r="AP11" s="15">
        <f t="shared" si="0"/>
        <v>301158.50000000006</v>
      </c>
      <c r="AQ11" s="15">
        <f t="shared" si="0"/>
        <v>293669.52691</v>
      </c>
      <c r="AR11" s="15">
        <f t="shared" si="0"/>
        <v>306716.6162499999</v>
      </c>
      <c r="AS11" s="15">
        <f t="shared" si="0"/>
        <v>301761.9856448</v>
      </c>
      <c r="AT11" s="15">
        <f t="shared" si="0"/>
        <v>303925.27063499996</v>
      </c>
      <c r="AU11" s="15">
        <f t="shared" si="0"/>
        <v>304851.724934</v>
      </c>
      <c r="AV11" s="15">
        <f t="shared" si="0"/>
        <v>305853</v>
      </c>
      <c r="AW11" s="15">
        <f t="shared" si="0"/>
        <v>305652.5311618</v>
      </c>
      <c r="AX11" s="15">
        <f t="shared" si="0"/>
        <v>310862.29891600006</v>
      </c>
      <c r="AY11" s="15">
        <f t="shared" si="0"/>
        <v>313411.8663385</v>
      </c>
      <c r="AZ11" s="15">
        <f t="shared" si="0"/>
        <v>328325.05287600006</v>
      </c>
      <c r="BA11" s="15">
        <f t="shared" si="0"/>
        <v>325620.86112</v>
      </c>
      <c r="BB11" s="15">
        <f t="shared" si="0"/>
        <v>330046.917828</v>
      </c>
      <c r="BC11" s="15">
        <f t="shared" si="0"/>
        <v>328811.48907360004</v>
      </c>
      <c r="BD11" s="15">
        <f>BD15+BD16</f>
        <v>326082.3312471999</v>
      </c>
      <c r="BE11" s="15">
        <f>BE15+BE16</f>
        <v>329392.7875168</v>
      </c>
      <c r="BF11" s="15">
        <f>BF15+BF16</f>
        <v>333410.1787336</v>
      </c>
      <c r="BG11" s="141">
        <f>BG15+BG16</f>
        <v>339637.638556</v>
      </c>
      <c r="BH11" s="53"/>
    </row>
    <row r="12" spans="1:59" ht="29.25" customHeight="1">
      <c r="A12" s="51" t="s">
        <v>3</v>
      </c>
      <c r="B12" s="54">
        <f aca="true" t="shared" si="1" ref="B12:BC12">B11/B69</f>
        <v>0.2972116043683821</v>
      </c>
      <c r="C12" s="54">
        <f t="shared" si="1"/>
        <v>0.3398829743405532</v>
      </c>
      <c r="D12" s="16">
        <f t="shared" si="1"/>
        <v>0.36911944085160914</v>
      </c>
      <c r="E12" s="16">
        <f t="shared" si="1"/>
        <v>0.37474321397225846</v>
      </c>
      <c r="F12" s="16">
        <f t="shared" si="1"/>
        <v>0.39216145143062264</v>
      </c>
      <c r="G12" s="16">
        <f t="shared" si="1"/>
        <v>0.38943367329896184</v>
      </c>
      <c r="H12" s="16">
        <f t="shared" si="1"/>
        <v>0.39776360556494766</v>
      </c>
      <c r="I12" s="16">
        <f t="shared" si="1"/>
        <v>0.3786592476637815</v>
      </c>
      <c r="J12" s="16">
        <f t="shared" si="1"/>
        <v>0.3710816959483639</v>
      </c>
      <c r="K12" s="16">
        <f t="shared" si="1"/>
        <v>0.37659157197328896</v>
      </c>
      <c r="L12" s="16">
        <f t="shared" si="1"/>
        <v>0.37240567783577516</v>
      </c>
      <c r="M12" s="16">
        <f t="shared" si="1"/>
        <v>0.3717657407807294</v>
      </c>
      <c r="N12" s="16">
        <f t="shared" si="1"/>
        <v>0.37560378572318154</v>
      </c>
      <c r="O12" s="16">
        <f t="shared" si="1"/>
        <v>0.37170008755819506</v>
      </c>
      <c r="P12" s="16">
        <f t="shared" si="1"/>
        <v>0.38658974259175466</v>
      </c>
      <c r="Q12" s="16">
        <f t="shared" si="1"/>
        <v>0.38536047278255037</v>
      </c>
      <c r="R12" s="16">
        <f>R11/R69</f>
        <v>0.37770956008240386</v>
      </c>
      <c r="S12" s="16">
        <f t="shared" si="1"/>
        <v>0.37643849993125705</v>
      </c>
      <c r="T12" s="16">
        <f t="shared" si="1"/>
        <v>0.3816725966329967</v>
      </c>
      <c r="U12" s="16">
        <f t="shared" si="1"/>
        <v>0.36992888626719433</v>
      </c>
      <c r="V12" s="16">
        <f t="shared" si="1"/>
        <v>0.37502042753394454</v>
      </c>
      <c r="W12" s="16">
        <f t="shared" si="1"/>
        <v>0.3769703684150485</v>
      </c>
      <c r="X12" s="16">
        <f t="shared" si="1"/>
        <v>0.3646509118645139</v>
      </c>
      <c r="Y12" s="16">
        <f t="shared" si="1"/>
        <v>0.37247865824535853</v>
      </c>
      <c r="Z12" s="16">
        <f t="shared" si="1"/>
        <v>0.36310380718203095</v>
      </c>
      <c r="AA12" s="16">
        <f t="shared" si="1"/>
        <v>0.359556832224121</v>
      </c>
      <c r="AB12" s="16">
        <f t="shared" si="1"/>
        <v>0.37344618603617324</v>
      </c>
      <c r="AC12" s="16">
        <f t="shared" si="1"/>
        <v>0.37724718185076284</v>
      </c>
      <c r="AD12" s="16">
        <f t="shared" si="1"/>
        <v>0.3732061662321029</v>
      </c>
      <c r="AE12" s="16">
        <f t="shared" si="1"/>
        <v>0.3713787598519502</v>
      </c>
      <c r="AF12" s="16">
        <f t="shared" si="1"/>
        <v>0.3749981954988329</v>
      </c>
      <c r="AG12" s="16">
        <f t="shared" si="1"/>
        <v>0.3681359653374669</v>
      </c>
      <c r="AH12" s="16">
        <f t="shared" si="1"/>
        <v>0.38194979936232293</v>
      </c>
      <c r="AI12" s="16">
        <f t="shared" si="1"/>
        <v>0.38406658827170004</v>
      </c>
      <c r="AJ12" s="16">
        <f>AJ11/AJ69</f>
        <v>0.3698624682321338</v>
      </c>
      <c r="AK12" s="16" t="e">
        <f t="shared" si="1"/>
        <v>#DIV/0!</v>
      </c>
      <c r="AL12" s="16">
        <f t="shared" si="1"/>
        <v>0.37212787760446575</v>
      </c>
      <c r="AM12" s="16">
        <f t="shared" si="1"/>
        <v>0.3549359266035883</v>
      </c>
      <c r="AN12" s="16">
        <f t="shared" si="1"/>
        <v>0.3615580531220344</v>
      </c>
      <c r="AO12" s="16">
        <f t="shared" si="1"/>
        <v>0.36338984619054054</v>
      </c>
      <c r="AP12" s="16">
        <f t="shared" si="1"/>
        <v>0.3515332088245594</v>
      </c>
      <c r="AQ12" s="16">
        <f t="shared" si="1"/>
        <v>0.34200925129119847</v>
      </c>
      <c r="AR12" s="16">
        <f t="shared" si="1"/>
        <v>0.3572039679635561</v>
      </c>
      <c r="AS12" s="16">
        <f t="shared" si="1"/>
        <v>0.3453346942982957</v>
      </c>
      <c r="AT12" s="16">
        <f t="shared" si="1"/>
        <v>0.34781034529580124</v>
      </c>
      <c r="AU12" s="16">
        <f t="shared" si="1"/>
        <v>0.34887057430855406</v>
      </c>
      <c r="AV12" s="16">
        <f t="shared" si="1"/>
        <v>0.34249963941866224</v>
      </c>
      <c r="AW12" s="16">
        <f t="shared" si="1"/>
        <v>0.3422751508414759</v>
      </c>
      <c r="AX12" s="16">
        <f t="shared" si="1"/>
        <v>0.34810914160589046</v>
      </c>
      <c r="AY12" s="16">
        <f t="shared" si="1"/>
        <v>0.34142429582924727</v>
      </c>
      <c r="AZ12" s="16">
        <f t="shared" si="1"/>
        <v>0.35767040760421387</v>
      </c>
      <c r="BA12" s="16">
        <f t="shared" si="1"/>
        <v>0.35472451797704074</v>
      </c>
      <c r="BB12" s="16">
        <f t="shared" si="1"/>
        <v>0.3495444365922271</v>
      </c>
      <c r="BC12" s="16">
        <f t="shared" si="1"/>
        <v>0.3397435883889867</v>
      </c>
      <c r="BD12" s="16">
        <f>BD11/BD69</f>
        <v>0.33692369339129846</v>
      </c>
      <c r="BE12" s="16">
        <f>BE11/BE69</f>
        <v>0.34034421344492405</v>
      </c>
      <c r="BF12" s="16">
        <f>BF11/BF69</f>
        <v>0.34449517213497316</v>
      </c>
      <c r="BG12" s="142">
        <f>BG11/BG69</f>
        <v>0.35092967827881666</v>
      </c>
    </row>
    <row r="13" spans="1:59" ht="12.75">
      <c r="A13" s="145" t="s">
        <v>4</v>
      </c>
      <c r="B13" s="12"/>
      <c r="C13" s="12"/>
      <c r="D13" s="13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136"/>
    </row>
    <row r="14" spans="1:65" ht="12.75">
      <c r="A14" s="21" t="s">
        <v>5</v>
      </c>
      <c r="B14" s="8"/>
      <c r="C14" s="8"/>
      <c r="D14" s="4"/>
      <c r="E14" s="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136"/>
      <c r="BH14" s="125"/>
      <c r="BI14" s="126" t="s">
        <v>78</v>
      </c>
      <c r="BJ14" s="43" t="s">
        <v>79</v>
      </c>
      <c r="BK14" s="43" t="s">
        <v>80</v>
      </c>
      <c r="BL14" s="56" t="s">
        <v>81</v>
      </c>
      <c r="BM14" s="43"/>
    </row>
    <row r="15" spans="1:65" ht="12.75">
      <c r="A15" s="21" t="s">
        <v>6</v>
      </c>
      <c r="B15" s="8">
        <f>B82+B137</f>
        <v>39131.28992</v>
      </c>
      <c r="C15" s="8">
        <f aca="true" t="shared" si="2" ref="B15:BF16">C82+C137</f>
        <v>44284.030944000006</v>
      </c>
      <c r="D15" s="4">
        <f t="shared" si="2"/>
        <v>33792.90688</v>
      </c>
      <c r="E15" s="4">
        <f t="shared" si="2"/>
        <v>14922.28123</v>
      </c>
      <c r="F15" s="7">
        <f t="shared" si="2"/>
        <v>17514.557662000003</v>
      </c>
      <c r="G15" s="7">
        <f t="shared" si="2"/>
        <v>16453.299439999995</v>
      </c>
      <c r="H15" s="7">
        <f t="shared" si="2"/>
        <v>18962.532733</v>
      </c>
      <c r="I15" s="7">
        <f t="shared" si="2"/>
        <v>15867.661306</v>
      </c>
      <c r="J15" s="7">
        <f t="shared" si="2"/>
        <v>17135.823075999997</v>
      </c>
      <c r="K15" s="7">
        <f t="shared" si="2"/>
        <v>16662.62411</v>
      </c>
      <c r="L15" s="7">
        <f t="shared" si="2"/>
        <v>15241.616815000001</v>
      </c>
      <c r="M15" s="7">
        <f t="shared" si="2"/>
        <v>15367.967929999999</v>
      </c>
      <c r="N15" s="7">
        <f t="shared" si="2"/>
        <v>15988.895143</v>
      </c>
      <c r="O15" s="7">
        <f t="shared" si="2"/>
        <v>15360.353704000001</v>
      </c>
      <c r="P15" s="7">
        <f t="shared" si="2"/>
        <v>17363.72826</v>
      </c>
      <c r="Q15" s="7">
        <f t="shared" si="2"/>
        <v>17755.5884</v>
      </c>
      <c r="R15" s="7">
        <f t="shared" si="2"/>
        <v>17091.21436</v>
      </c>
      <c r="S15" s="7">
        <f t="shared" si="2"/>
        <v>15424.372142999999</v>
      </c>
      <c r="T15" s="7">
        <f t="shared" si="2"/>
        <v>17293.05962</v>
      </c>
      <c r="U15" s="7">
        <f t="shared" si="2"/>
        <v>14336.37305</v>
      </c>
      <c r="V15" s="7">
        <f t="shared" si="2"/>
        <v>16271.40351</v>
      </c>
      <c r="W15" s="7">
        <f t="shared" si="2"/>
        <v>16246.142935000002</v>
      </c>
      <c r="X15" s="7">
        <f t="shared" si="2"/>
        <v>15694.620470000002</v>
      </c>
      <c r="Y15" s="7">
        <f t="shared" si="2"/>
        <v>17201.069572</v>
      </c>
      <c r="Z15" s="7">
        <f t="shared" si="2"/>
        <v>17153.854890000002</v>
      </c>
      <c r="AA15" s="7">
        <f t="shared" si="2"/>
        <v>17255.923297</v>
      </c>
      <c r="AB15" s="7">
        <f t="shared" si="2"/>
        <v>17664.145107</v>
      </c>
      <c r="AC15" s="7">
        <f t="shared" si="2"/>
        <v>18131.213586</v>
      </c>
      <c r="AD15" s="7">
        <f t="shared" si="2"/>
        <v>19589.644565000002</v>
      </c>
      <c r="AE15" s="7">
        <f t="shared" si="2"/>
        <v>16311.798394000001</v>
      </c>
      <c r="AF15" s="7">
        <f t="shared" si="2"/>
        <v>16643.883439999998</v>
      </c>
      <c r="AG15" s="7">
        <f t="shared" si="2"/>
        <v>16474.185391</v>
      </c>
      <c r="AH15" s="7">
        <f t="shared" si="2"/>
        <v>16672.61202</v>
      </c>
      <c r="AI15" s="7">
        <f t="shared" si="2"/>
        <v>15162.992674000001</v>
      </c>
      <c r="AJ15" s="7">
        <f t="shared" si="2"/>
        <v>16423.470581</v>
      </c>
      <c r="AK15" s="7">
        <f t="shared" si="2"/>
        <v>18114.270126</v>
      </c>
      <c r="AL15" s="7">
        <f t="shared" si="2"/>
        <v>16612.996919999998</v>
      </c>
      <c r="AM15" s="7">
        <f t="shared" si="2"/>
        <v>16100.848434000001</v>
      </c>
      <c r="AN15" s="7">
        <f t="shared" si="2"/>
        <v>16004.571935</v>
      </c>
      <c r="AO15" s="7">
        <f t="shared" si="2"/>
        <v>15698.992192</v>
      </c>
      <c r="AP15" s="7">
        <f t="shared" si="2"/>
        <v>15174.628405000001</v>
      </c>
      <c r="AQ15" s="7">
        <f t="shared" si="2"/>
        <v>12434.122876000001</v>
      </c>
      <c r="AR15" s="7">
        <f t="shared" si="2"/>
        <v>12011.277250000001</v>
      </c>
      <c r="AS15" s="7">
        <f t="shared" si="2"/>
        <v>10914.640223999999</v>
      </c>
      <c r="AT15" s="7">
        <f t="shared" si="2"/>
        <v>10044.356346</v>
      </c>
      <c r="AU15" s="7">
        <f t="shared" si="2"/>
        <v>9642.673014</v>
      </c>
      <c r="AV15" s="7">
        <f t="shared" si="2"/>
        <v>10297.006821</v>
      </c>
      <c r="AW15" s="7">
        <f t="shared" si="2"/>
        <v>8435.761250000001</v>
      </c>
      <c r="AX15" s="7">
        <f t="shared" si="2"/>
        <v>8464.706</v>
      </c>
      <c r="AY15" s="7">
        <f t="shared" si="2"/>
        <v>9047.280865</v>
      </c>
      <c r="AZ15" s="7">
        <f t="shared" si="2"/>
        <v>10418.627556</v>
      </c>
      <c r="BA15" s="7">
        <f t="shared" si="2"/>
        <v>11719.390720000001</v>
      </c>
      <c r="BB15" s="7">
        <f t="shared" si="2"/>
        <v>10844.654924</v>
      </c>
      <c r="BC15" s="7">
        <f t="shared" si="2"/>
        <v>9687.987588</v>
      </c>
      <c r="BD15" s="7">
        <f t="shared" si="2"/>
        <v>9670.418080000001</v>
      </c>
      <c r="BE15" s="7">
        <f t="shared" si="2"/>
        <v>9567.540584</v>
      </c>
      <c r="BF15" s="7">
        <f t="shared" si="2"/>
        <v>10183.427796</v>
      </c>
      <c r="BG15" s="136">
        <f>BG82+BG137</f>
        <v>10192.186307999998</v>
      </c>
      <c r="BH15" s="125"/>
      <c r="BI15" s="127">
        <v>140599.1</v>
      </c>
      <c r="BJ15" s="27">
        <v>162812.6</v>
      </c>
      <c r="BK15" s="27">
        <v>197362</v>
      </c>
      <c r="BL15" s="27">
        <v>212058.6</v>
      </c>
      <c r="BM15" s="27">
        <f>SUM(BI15:BL15)</f>
        <v>712832.3</v>
      </c>
    </row>
    <row r="16" spans="1:66" ht="12.75">
      <c r="A16" s="21" t="s">
        <v>7</v>
      </c>
      <c r="B16" s="8">
        <f t="shared" si="2"/>
        <v>118279.108832</v>
      </c>
      <c r="C16" s="8">
        <f t="shared" si="2"/>
        <v>146751.27337980003</v>
      </c>
      <c r="D16" s="4">
        <f t="shared" si="2"/>
        <v>185968.6272615</v>
      </c>
      <c r="E16" s="4">
        <f t="shared" si="2"/>
        <v>223960.0289759</v>
      </c>
      <c r="F16" s="7">
        <f t="shared" si="2"/>
        <v>244680.66715</v>
      </c>
      <c r="G16" s="7">
        <f t="shared" si="2"/>
        <v>243157.59622700003</v>
      </c>
      <c r="H16" s="7">
        <f t="shared" si="2"/>
        <v>246201.40399</v>
      </c>
      <c r="I16" s="7">
        <f t="shared" si="2"/>
        <v>240226.13869400002</v>
      </c>
      <c r="J16" s="7">
        <f t="shared" si="2"/>
        <v>237023.930678</v>
      </c>
      <c r="K16" s="7">
        <f t="shared" si="2"/>
        <v>241270.93134049998</v>
      </c>
      <c r="L16" s="7">
        <f t="shared" si="2"/>
        <v>239824.953185</v>
      </c>
      <c r="M16" s="7">
        <f t="shared" si="2"/>
        <v>239260.299006</v>
      </c>
      <c r="N16" s="7">
        <f t="shared" si="2"/>
        <v>241268.10979900003</v>
      </c>
      <c r="O16" s="7">
        <f t="shared" si="2"/>
        <v>239222.94629599998</v>
      </c>
      <c r="P16" s="7">
        <f t="shared" si="2"/>
        <v>247417.73321799998</v>
      </c>
      <c r="Q16" s="7">
        <f t="shared" si="2"/>
        <v>250933.22471499996</v>
      </c>
      <c r="R16" s="7">
        <f t="shared" si="2"/>
        <v>252060.08564</v>
      </c>
      <c r="S16" s="7">
        <f t="shared" si="2"/>
        <v>252900.99060800002</v>
      </c>
      <c r="T16" s="7">
        <f t="shared" si="2"/>
        <v>254763.16726000002</v>
      </c>
      <c r="U16" s="7">
        <f t="shared" si="2"/>
        <v>251909.25189599997</v>
      </c>
      <c r="V16" s="7">
        <f t="shared" si="2"/>
        <v>260197.14335799997</v>
      </c>
      <c r="W16" s="7">
        <f t="shared" si="2"/>
        <v>261659.91848499997</v>
      </c>
      <c r="X16" s="7">
        <f t="shared" si="2"/>
        <v>253129.42301</v>
      </c>
      <c r="Y16" s="7">
        <f t="shared" si="2"/>
        <v>257393.661338</v>
      </c>
      <c r="Z16" s="7">
        <f t="shared" si="2"/>
        <v>250529.64862999998</v>
      </c>
      <c r="AA16" s="7">
        <f t="shared" si="2"/>
        <v>251917.05853700003</v>
      </c>
      <c r="AB16" s="7">
        <f t="shared" si="2"/>
        <v>261906.744502</v>
      </c>
      <c r="AC16" s="7">
        <f t="shared" si="2"/>
        <v>264285.193854</v>
      </c>
      <c r="AD16" s="7">
        <f t="shared" si="2"/>
        <v>265963.455435</v>
      </c>
      <c r="AE16" s="7">
        <f t="shared" si="2"/>
        <v>266483.322834</v>
      </c>
      <c r="AF16" s="7">
        <f t="shared" si="2"/>
        <v>268907.34248000005</v>
      </c>
      <c r="AG16" s="7">
        <f t="shared" si="2"/>
        <v>272133.514609</v>
      </c>
      <c r="AH16" s="7">
        <f t="shared" si="2"/>
        <v>282764.724966</v>
      </c>
      <c r="AI16" s="7">
        <f t="shared" si="2"/>
        <v>285933.84416</v>
      </c>
      <c r="AJ16" s="7">
        <f t="shared" si="2"/>
        <v>279882.229419</v>
      </c>
      <c r="AK16" s="7">
        <f t="shared" si="2"/>
        <v>276126.29408</v>
      </c>
      <c r="AL16" s="7">
        <f t="shared" si="2"/>
        <v>281507.576898</v>
      </c>
      <c r="AM16" s="7">
        <f t="shared" si="2"/>
        <v>278546.15858700004</v>
      </c>
      <c r="AN16" s="7">
        <f t="shared" si="2"/>
        <v>284139.73646499997</v>
      </c>
      <c r="AO16" s="7">
        <f t="shared" si="2"/>
        <v>285965.9634704</v>
      </c>
      <c r="AP16" s="7">
        <f t="shared" si="2"/>
        <v>285983.87159500003</v>
      </c>
      <c r="AQ16" s="7">
        <f t="shared" si="2"/>
        <v>281235.404034</v>
      </c>
      <c r="AR16" s="7">
        <f t="shared" si="2"/>
        <v>294705.3389999999</v>
      </c>
      <c r="AS16" s="7">
        <f t="shared" si="2"/>
        <v>290847.34542080003</v>
      </c>
      <c r="AT16" s="7">
        <f t="shared" si="2"/>
        <v>293880.914289</v>
      </c>
      <c r="AU16" s="7">
        <f t="shared" si="2"/>
        <v>295209.05192</v>
      </c>
      <c r="AV16" s="7">
        <f t="shared" si="2"/>
        <v>295555.993179</v>
      </c>
      <c r="AW16" s="7">
        <f t="shared" si="2"/>
        <v>297216.76991180005</v>
      </c>
      <c r="AX16" s="7">
        <f t="shared" si="2"/>
        <v>302397.59291600005</v>
      </c>
      <c r="AY16" s="7">
        <f t="shared" si="2"/>
        <v>304364.5854735</v>
      </c>
      <c r="AZ16" s="7">
        <f t="shared" si="2"/>
        <v>317906.42532000004</v>
      </c>
      <c r="BA16" s="7">
        <f t="shared" si="2"/>
        <v>313901.4704</v>
      </c>
      <c r="BB16" s="7">
        <f t="shared" si="2"/>
        <v>319202.262904</v>
      </c>
      <c r="BC16" s="7">
        <f t="shared" si="2"/>
        <v>319123.5014856</v>
      </c>
      <c r="BD16" s="7">
        <f t="shared" si="2"/>
        <v>316411.91316719993</v>
      </c>
      <c r="BE16" s="7">
        <f t="shared" si="2"/>
        <v>319825.2469328</v>
      </c>
      <c r="BF16" s="7">
        <f t="shared" si="2"/>
        <v>323226.75093760004</v>
      </c>
      <c r="BG16" s="136">
        <f>BG83+BG138</f>
        <v>329445.452248</v>
      </c>
      <c r="BH16" s="125"/>
      <c r="BI16" s="127">
        <v>147487.9</v>
      </c>
      <c r="BJ16" s="27">
        <v>180300.8</v>
      </c>
      <c r="BK16" s="27">
        <v>208777</v>
      </c>
      <c r="BL16" s="27">
        <v>230811.6</v>
      </c>
      <c r="BM16" s="58">
        <f>BJ15+BK15+BL15+BI16</f>
        <v>719721.1</v>
      </c>
      <c r="BN16" s="29" t="s">
        <v>86</v>
      </c>
    </row>
    <row r="17" spans="1:66" ht="12.75">
      <c r="A17" s="21" t="s">
        <v>8</v>
      </c>
      <c r="B17" s="8"/>
      <c r="C17" s="8"/>
      <c r="D17" s="4"/>
      <c r="E17" s="4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136"/>
      <c r="BH17" s="125"/>
      <c r="BI17" s="127">
        <v>164081</v>
      </c>
      <c r="BJ17" s="27">
        <v>197454.4</v>
      </c>
      <c r="BK17" s="27">
        <v>237794.4</v>
      </c>
      <c r="BL17" s="27">
        <v>259329.8</v>
      </c>
      <c r="BM17" s="58">
        <f>BJ16+BI16+BL15+BK15</f>
        <v>737209.2999999999</v>
      </c>
      <c r="BN17" s="29" t="s">
        <v>87</v>
      </c>
    </row>
    <row r="18" spans="1:66" ht="12.75">
      <c r="A18" s="21" t="s">
        <v>9</v>
      </c>
      <c r="B18" s="8">
        <f aca="true" t="shared" si="3" ref="B18:BC18">B85</f>
        <v>4677.09</v>
      </c>
      <c r="C18" s="8">
        <f t="shared" si="3"/>
        <v>6397.57</v>
      </c>
      <c r="D18" s="4">
        <f t="shared" si="3"/>
        <v>4987.21</v>
      </c>
      <c r="E18" s="4">
        <f t="shared" si="3"/>
        <v>4222.3</v>
      </c>
      <c r="F18" s="7">
        <f t="shared" si="3"/>
        <v>6754.68</v>
      </c>
      <c r="G18" s="7">
        <f t="shared" si="3"/>
        <v>5112.03</v>
      </c>
      <c r="H18" s="7">
        <f t="shared" si="3"/>
        <v>6445.56</v>
      </c>
      <c r="I18" s="7">
        <f t="shared" si="3"/>
        <v>4098.3</v>
      </c>
      <c r="J18" s="7">
        <f t="shared" si="3"/>
        <v>4046.5</v>
      </c>
      <c r="K18" s="7">
        <f t="shared" si="3"/>
        <v>4402.4</v>
      </c>
      <c r="L18" s="7">
        <f t="shared" si="3"/>
        <v>5104.59</v>
      </c>
      <c r="M18" s="7">
        <f t="shared" si="3"/>
        <v>5066.69</v>
      </c>
      <c r="N18" s="7">
        <f t="shared" si="3"/>
        <v>5816.11</v>
      </c>
      <c r="O18" s="7">
        <f t="shared" si="3"/>
        <v>6324.2</v>
      </c>
      <c r="P18" s="7">
        <f t="shared" si="3"/>
        <v>6187.62</v>
      </c>
      <c r="Q18" s="7">
        <f t="shared" si="3"/>
        <v>7210.92</v>
      </c>
      <c r="R18" s="7">
        <f t="shared" si="3"/>
        <v>8752.65</v>
      </c>
      <c r="S18" s="7">
        <f t="shared" si="3"/>
        <v>4372.6</v>
      </c>
      <c r="T18" s="7">
        <f t="shared" si="3"/>
        <v>5521.1</v>
      </c>
      <c r="U18" s="7">
        <f t="shared" si="3"/>
        <v>4757</v>
      </c>
      <c r="V18" s="7">
        <f t="shared" si="3"/>
        <v>5041.7</v>
      </c>
      <c r="W18" s="7">
        <f t="shared" si="3"/>
        <v>5135.7</v>
      </c>
      <c r="X18" s="7">
        <f t="shared" si="3"/>
        <v>4941.7</v>
      </c>
      <c r="Y18" s="7">
        <f t="shared" si="3"/>
        <v>5303.6</v>
      </c>
      <c r="Z18" s="7">
        <f t="shared" si="3"/>
        <v>5096.5</v>
      </c>
      <c r="AA18" s="7">
        <f t="shared" si="3"/>
        <v>5643.1</v>
      </c>
      <c r="AB18" s="7">
        <f t="shared" si="3"/>
        <v>5985.2</v>
      </c>
      <c r="AC18" s="7">
        <f t="shared" si="3"/>
        <v>6648.3</v>
      </c>
      <c r="AD18" s="7">
        <f t="shared" si="3"/>
        <v>8408.5</v>
      </c>
      <c r="AE18" s="7">
        <f t="shared" si="3"/>
        <v>5347.6</v>
      </c>
      <c r="AF18" s="7">
        <f t="shared" si="3"/>
        <v>4856.1</v>
      </c>
      <c r="AG18" s="7">
        <f t="shared" si="3"/>
        <v>5046.6</v>
      </c>
      <c r="AH18" s="7">
        <f t="shared" si="3"/>
        <v>5592.3</v>
      </c>
      <c r="AI18" s="7">
        <f t="shared" si="3"/>
        <v>5395.2</v>
      </c>
      <c r="AJ18" s="7">
        <f t="shared" si="3"/>
        <v>6030.7</v>
      </c>
      <c r="AK18" s="7">
        <f t="shared" si="3"/>
        <v>6250.1</v>
      </c>
      <c r="AL18" s="7">
        <f t="shared" si="3"/>
        <v>5955.6</v>
      </c>
      <c r="AM18" s="7">
        <f t="shared" si="3"/>
        <v>6225.2</v>
      </c>
      <c r="AN18" s="7">
        <f t="shared" si="3"/>
        <v>6913.8</v>
      </c>
      <c r="AO18" s="7">
        <f t="shared" si="3"/>
        <v>7325.2</v>
      </c>
      <c r="AP18" s="7">
        <f t="shared" si="3"/>
        <v>7411.1</v>
      </c>
      <c r="AQ18" s="7">
        <f t="shared" si="3"/>
        <v>5029.6</v>
      </c>
      <c r="AR18" s="7">
        <f t="shared" si="3"/>
        <v>5557</v>
      </c>
      <c r="AS18" s="7">
        <f t="shared" si="3"/>
        <v>5067</v>
      </c>
      <c r="AT18" s="7">
        <f t="shared" si="3"/>
        <v>5184.9</v>
      </c>
      <c r="AU18" s="7">
        <f t="shared" si="3"/>
        <v>5491.9</v>
      </c>
      <c r="AV18" s="7">
        <f t="shared" si="3"/>
        <v>6806.6</v>
      </c>
      <c r="AW18" s="7">
        <f t="shared" si="3"/>
        <v>5966.3</v>
      </c>
      <c r="AX18" s="7">
        <f t="shared" si="3"/>
        <v>6333.8</v>
      </c>
      <c r="AY18" s="7">
        <f t="shared" si="3"/>
        <v>6593.1</v>
      </c>
      <c r="AZ18" s="7">
        <f t="shared" si="3"/>
        <v>7551.1</v>
      </c>
      <c r="BA18" s="7">
        <f t="shared" si="3"/>
        <v>8202.6</v>
      </c>
      <c r="BB18" s="7">
        <f t="shared" si="3"/>
        <v>6953.2</v>
      </c>
      <c r="BC18" s="7">
        <f t="shared" si="3"/>
        <v>5727.3</v>
      </c>
      <c r="BD18" s="7">
        <f>BD85</f>
        <v>6199.9</v>
      </c>
      <c r="BE18" s="7">
        <f>BE85</f>
        <v>6384.5</v>
      </c>
      <c r="BF18" s="7">
        <f>BF85</f>
        <v>6871.7</v>
      </c>
      <c r="BG18" s="136">
        <f>BG85</f>
        <v>6852.8</v>
      </c>
      <c r="BH18" s="125"/>
      <c r="BI18" s="127">
        <v>179246.1</v>
      </c>
      <c r="BJ18" s="113">
        <v>216632.1</v>
      </c>
      <c r="BK18" s="27">
        <v>262746.2</v>
      </c>
      <c r="BL18" s="27">
        <v>285595.8</v>
      </c>
      <c r="BM18" s="58">
        <f>BL15+BI16+BJ16+BK16</f>
        <v>748624.3</v>
      </c>
      <c r="BN18" s="29" t="s">
        <v>92</v>
      </c>
    </row>
    <row r="19" spans="1:66" ht="12.75">
      <c r="A19" s="149" t="s">
        <v>10</v>
      </c>
      <c r="B19" s="150">
        <f aca="true" t="shared" si="4" ref="B19:Q22">B86+B140</f>
        <v>82286.81568</v>
      </c>
      <c r="C19" s="150">
        <f t="shared" si="4"/>
        <v>106511.95621</v>
      </c>
      <c r="D19" s="150">
        <f t="shared" si="4"/>
        <v>135671.17861</v>
      </c>
      <c r="E19" s="150">
        <f t="shared" si="4"/>
        <v>155905.32358</v>
      </c>
      <c r="F19" s="150">
        <f t="shared" si="4"/>
        <v>181107.477686</v>
      </c>
      <c r="G19" s="150">
        <f t="shared" si="4"/>
        <v>187786.659912</v>
      </c>
      <c r="H19" s="150">
        <f t="shared" si="4"/>
        <v>192687.719684</v>
      </c>
      <c r="I19" s="150">
        <f t="shared" si="4"/>
        <v>186507.1</v>
      </c>
      <c r="J19" s="150">
        <f t="shared" si="4"/>
        <v>184796.279816</v>
      </c>
      <c r="K19" s="150">
        <f t="shared" si="4"/>
        <v>188089.71917499998</v>
      </c>
      <c r="L19" s="150">
        <f t="shared" si="4"/>
        <v>181513.37</v>
      </c>
      <c r="M19" s="150">
        <f t="shared" si="4"/>
        <v>181728.42589</v>
      </c>
      <c r="N19" s="150">
        <f t="shared" si="4"/>
        <v>183701.14092</v>
      </c>
      <c r="O19" s="150">
        <f t="shared" si="4"/>
        <v>181010.4</v>
      </c>
      <c r="P19" s="150">
        <f t="shared" si="4"/>
        <v>191050.61961</v>
      </c>
      <c r="Q19" s="150">
        <f t="shared" si="4"/>
        <v>194321.35181999998</v>
      </c>
      <c r="R19" s="150">
        <f>R86+R140</f>
        <v>191607.15000000002</v>
      </c>
      <c r="S19" s="150">
        <f aca="true" t="shared" si="5" ref="R19:BG22">S86+S140</f>
        <v>193897.494831</v>
      </c>
      <c r="T19" s="150">
        <f t="shared" si="5"/>
        <v>197262.404836</v>
      </c>
      <c r="U19" s="150">
        <f t="shared" si="5"/>
        <v>194028.524946</v>
      </c>
      <c r="V19" s="150">
        <f t="shared" si="5"/>
        <v>202935.16132</v>
      </c>
      <c r="W19" s="150">
        <f t="shared" si="5"/>
        <v>204143.32935999997</v>
      </c>
      <c r="X19" s="150">
        <f t="shared" si="5"/>
        <v>196627.94348000002</v>
      </c>
      <c r="Y19" s="150">
        <f t="shared" si="5"/>
        <v>202159.04241</v>
      </c>
      <c r="Z19" s="150">
        <f t="shared" si="5"/>
        <v>195966.45107</v>
      </c>
      <c r="AA19" s="150">
        <f t="shared" si="5"/>
        <v>198106.581834</v>
      </c>
      <c r="AB19" s="150">
        <f t="shared" si="5"/>
        <v>207016.916975</v>
      </c>
      <c r="AC19" s="150">
        <f t="shared" si="5"/>
        <v>209535.2071</v>
      </c>
      <c r="AD19" s="150">
        <f t="shared" si="5"/>
        <v>211568.5</v>
      </c>
      <c r="AE19" s="150">
        <f t="shared" si="5"/>
        <v>212304.287042</v>
      </c>
      <c r="AF19" s="150">
        <f t="shared" si="5"/>
        <v>215252.41824</v>
      </c>
      <c r="AG19" s="150">
        <f t="shared" si="5"/>
        <v>218470.5</v>
      </c>
      <c r="AH19" s="150">
        <f t="shared" si="5"/>
        <v>228529.315572</v>
      </c>
      <c r="AI19" s="150">
        <f t="shared" si="5"/>
        <v>230694.64551399997</v>
      </c>
      <c r="AJ19" s="150">
        <f t="shared" si="5"/>
        <v>227224.8</v>
      </c>
      <c r="AK19" s="150">
        <f t="shared" si="5"/>
        <v>224255.04975399998</v>
      </c>
      <c r="AL19" s="150">
        <f t="shared" si="5"/>
        <v>226191.821434</v>
      </c>
      <c r="AM19" s="150">
        <f t="shared" si="5"/>
        <v>228475.707021</v>
      </c>
      <c r="AN19" s="150">
        <f t="shared" si="5"/>
        <v>232718.00386499998</v>
      </c>
      <c r="AO19" s="150">
        <f t="shared" si="5"/>
        <v>233674.501872</v>
      </c>
      <c r="AP19" s="150">
        <f t="shared" si="5"/>
        <v>234343</v>
      </c>
      <c r="AQ19" s="150">
        <f t="shared" si="5"/>
        <v>228847.368504</v>
      </c>
      <c r="AR19" s="150">
        <f t="shared" si="5"/>
        <v>241514.72749999998</v>
      </c>
      <c r="AS19" s="150">
        <f t="shared" si="5"/>
        <v>243443.452816</v>
      </c>
      <c r="AT19" s="150">
        <f t="shared" si="5"/>
        <v>245985.50581499998</v>
      </c>
      <c r="AU19" s="150">
        <f t="shared" si="5"/>
        <v>246846.54365</v>
      </c>
      <c r="AV19" s="150">
        <f t="shared" si="5"/>
        <v>246318.9</v>
      </c>
      <c r="AW19" s="150">
        <f t="shared" si="5"/>
        <v>247865.67415700003</v>
      </c>
      <c r="AX19" s="150">
        <f t="shared" si="5"/>
        <v>252384.3674</v>
      </c>
      <c r="AY19" s="150">
        <f t="shared" si="5"/>
        <v>255518.02323100003</v>
      </c>
      <c r="AZ19" s="150">
        <f t="shared" si="5"/>
        <v>269795.36056400003</v>
      </c>
      <c r="BA19" s="150">
        <f t="shared" si="5"/>
        <v>266743.3072</v>
      </c>
      <c r="BB19" s="150">
        <f t="shared" si="5"/>
        <v>270401.04032499995</v>
      </c>
      <c r="BC19" s="150">
        <f t="shared" si="5"/>
        <v>271533.081924</v>
      </c>
      <c r="BD19" s="150">
        <f t="shared" si="5"/>
        <v>268383.811464</v>
      </c>
      <c r="BE19" s="150">
        <f t="shared" si="5"/>
        <v>268309.24178</v>
      </c>
      <c r="BF19" s="150">
        <f t="shared" si="5"/>
        <v>280244.81626</v>
      </c>
      <c r="BG19" s="150">
        <f t="shared" si="5"/>
        <v>283189.953265</v>
      </c>
      <c r="BI19" s="128">
        <v>202848.4</v>
      </c>
      <c r="BM19" s="59">
        <f>BI16+BJ16+BK16+BL16</f>
        <v>767377.2999999999</v>
      </c>
      <c r="BN19" s="29" t="s">
        <v>112</v>
      </c>
    </row>
    <row r="20" spans="1:66" ht="12.75">
      <c r="A20" s="60" t="s">
        <v>11</v>
      </c>
      <c r="B20" s="8">
        <f t="shared" si="4"/>
        <v>34096.79992</v>
      </c>
      <c r="C20" s="8">
        <f t="shared" si="4"/>
        <v>35335.560944</v>
      </c>
      <c r="D20" s="4">
        <f t="shared" si="4"/>
        <v>28425.89688</v>
      </c>
      <c r="E20" s="4">
        <f t="shared" si="4"/>
        <v>10304.58123</v>
      </c>
      <c r="F20" s="7">
        <f t="shared" si="4"/>
        <v>10383.577662</v>
      </c>
      <c r="G20" s="7">
        <f t="shared" si="4"/>
        <v>11004.99944</v>
      </c>
      <c r="H20" s="7">
        <f t="shared" si="4"/>
        <v>12173.002733</v>
      </c>
      <c r="I20" s="7">
        <f t="shared" si="4"/>
        <v>11312.361305999999</v>
      </c>
      <c r="J20" s="7">
        <f t="shared" si="4"/>
        <v>12654.103076</v>
      </c>
      <c r="K20" s="7">
        <f t="shared" si="4"/>
        <v>11781.23411</v>
      </c>
      <c r="L20" s="7">
        <f t="shared" si="4"/>
        <v>9625.656815</v>
      </c>
      <c r="M20" s="7">
        <f t="shared" si="4"/>
        <v>9846.467929999999</v>
      </c>
      <c r="N20" s="7">
        <f t="shared" si="4"/>
        <v>9839.495143</v>
      </c>
      <c r="O20" s="7">
        <f t="shared" si="4"/>
        <v>8550.813704</v>
      </c>
      <c r="P20" s="7">
        <f t="shared" si="4"/>
        <v>10738.11826</v>
      </c>
      <c r="Q20" s="7">
        <f t="shared" si="4"/>
        <v>10329.058400000002</v>
      </c>
      <c r="R20" s="7">
        <f t="shared" si="5"/>
        <v>8193.86436</v>
      </c>
      <c r="S20" s="7">
        <f t="shared" si="5"/>
        <v>10816.772143</v>
      </c>
      <c r="T20" s="7">
        <f t="shared" si="5"/>
        <v>11410.05962</v>
      </c>
      <c r="U20" s="7">
        <f t="shared" si="5"/>
        <v>9171.27305</v>
      </c>
      <c r="V20" s="7">
        <f t="shared" si="5"/>
        <v>10891.10351</v>
      </c>
      <c r="W20" s="7">
        <f t="shared" si="5"/>
        <v>10749.042935000001</v>
      </c>
      <c r="X20" s="7">
        <f t="shared" si="5"/>
        <v>10380.920470000001</v>
      </c>
      <c r="Y20" s="7">
        <f t="shared" si="5"/>
        <v>11550.769572</v>
      </c>
      <c r="Z20" s="7">
        <f t="shared" si="5"/>
        <v>11716.95489</v>
      </c>
      <c r="AA20" s="7">
        <f t="shared" si="5"/>
        <v>11246.623297</v>
      </c>
      <c r="AB20" s="7">
        <f t="shared" si="5"/>
        <v>11332.145106999998</v>
      </c>
      <c r="AC20" s="7">
        <f t="shared" si="5"/>
        <v>11188.713586000002</v>
      </c>
      <c r="AD20" s="7">
        <f t="shared" si="5"/>
        <v>10977.144565</v>
      </c>
      <c r="AE20" s="7">
        <f t="shared" si="5"/>
        <v>10665.698394</v>
      </c>
      <c r="AF20" s="7">
        <f t="shared" si="5"/>
        <v>11413.38344</v>
      </c>
      <c r="AG20" s="7">
        <f t="shared" si="5"/>
        <v>10977.185390999999</v>
      </c>
      <c r="AH20" s="7">
        <f t="shared" si="5"/>
        <v>10670.312020000001</v>
      </c>
      <c r="AI20" s="7">
        <f t="shared" si="5"/>
        <v>9578.392674</v>
      </c>
      <c r="AJ20" s="7">
        <f t="shared" si="5"/>
        <v>10107.370581</v>
      </c>
      <c r="AK20" s="7">
        <f t="shared" si="5"/>
        <v>11453.670125999999</v>
      </c>
      <c r="AL20" s="7">
        <f t="shared" si="5"/>
        <v>10299.79692</v>
      </c>
      <c r="AM20" s="7">
        <f t="shared" si="5"/>
        <v>9409.648434</v>
      </c>
      <c r="AN20" s="7">
        <f t="shared" si="5"/>
        <v>8730.071935</v>
      </c>
      <c r="AO20" s="7">
        <f t="shared" si="5"/>
        <v>8033.392191999999</v>
      </c>
      <c r="AP20" s="7">
        <f t="shared" si="5"/>
        <v>7231.228405</v>
      </c>
      <c r="AQ20" s="7">
        <f t="shared" si="5"/>
        <v>6939.022876</v>
      </c>
      <c r="AR20" s="7">
        <f t="shared" si="5"/>
        <v>6035.97725</v>
      </c>
      <c r="AS20" s="7">
        <f t="shared" si="5"/>
        <v>5307.740224</v>
      </c>
      <c r="AT20" s="7">
        <f t="shared" si="5"/>
        <v>4466.756346</v>
      </c>
      <c r="AU20" s="7">
        <f t="shared" si="5"/>
        <v>3717.073014</v>
      </c>
      <c r="AV20" s="7">
        <f t="shared" si="5"/>
        <v>2961.106821</v>
      </c>
      <c r="AW20" s="7">
        <f t="shared" si="5"/>
        <v>2032.86125</v>
      </c>
      <c r="AX20" s="7">
        <f t="shared" si="5"/>
        <v>1594.306</v>
      </c>
      <c r="AY20" s="7">
        <f t="shared" si="5"/>
        <v>1921.980865</v>
      </c>
      <c r="AZ20" s="7">
        <f t="shared" si="5"/>
        <v>2430.127556</v>
      </c>
      <c r="BA20" s="7">
        <f t="shared" si="5"/>
        <v>3034.89072</v>
      </c>
      <c r="BB20" s="7">
        <f t="shared" si="5"/>
        <v>3482.954924</v>
      </c>
      <c r="BC20" s="7">
        <f t="shared" si="5"/>
        <v>3482.987588</v>
      </c>
      <c r="BD20" s="7">
        <f t="shared" si="5"/>
        <v>2994.81808</v>
      </c>
      <c r="BE20" s="7">
        <f t="shared" si="5"/>
        <v>2611.340584</v>
      </c>
      <c r="BF20" s="7">
        <f t="shared" si="5"/>
        <v>2842.5277960000003</v>
      </c>
      <c r="BG20" s="136">
        <f t="shared" si="5"/>
        <v>2713.586308</v>
      </c>
      <c r="BJ20" s="27"/>
      <c r="BM20" s="59">
        <f>BI17+BL16+BK16+BJ16</f>
        <v>783970.3999999999</v>
      </c>
      <c r="BN20" s="29" t="s">
        <v>97</v>
      </c>
    </row>
    <row r="21" spans="1:66" ht="12.75">
      <c r="A21" s="21" t="s">
        <v>12</v>
      </c>
      <c r="B21" s="8">
        <f t="shared" si="4"/>
        <v>70446.55307200001</v>
      </c>
      <c r="C21" s="8">
        <f t="shared" si="4"/>
        <v>78125.7281138</v>
      </c>
      <c r="D21" s="4">
        <f t="shared" si="4"/>
        <v>79103.1655315</v>
      </c>
      <c r="E21" s="4">
        <f t="shared" si="4"/>
        <v>78754.70662590001</v>
      </c>
      <c r="F21" s="7">
        <f t="shared" si="4"/>
        <v>74333.06712600001</v>
      </c>
      <c r="G21" s="7">
        <f t="shared" si="4"/>
        <v>66712.20575500002</v>
      </c>
      <c r="H21" s="7">
        <f t="shared" si="4"/>
        <v>66030.657039</v>
      </c>
      <c r="I21" s="7">
        <f t="shared" si="4"/>
        <v>65488.4</v>
      </c>
      <c r="J21" s="7">
        <f t="shared" si="4"/>
        <v>65316.973937999996</v>
      </c>
      <c r="K21" s="7">
        <f t="shared" si="4"/>
        <v>65441.436275500004</v>
      </c>
      <c r="L21" s="7">
        <f t="shared" si="4"/>
        <v>68448.61</v>
      </c>
      <c r="M21" s="7">
        <f t="shared" si="4"/>
        <v>67833.151046</v>
      </c>
      <c r="N21" s="7">
        <f t="shared" si="4"/>
        <v>67739.75402200001</v>
      </c>
      <c r="O21" s="7">
        <f t="shared" si="4"/>
        <v>67248.7</v>
      </c>
      <c r="P21" s="7">
        <f t="shared" si="4"/>
        <v>67543.221868</v>
      </c>
      <c r="Q21" s="7">
        <f t="shared" si="4"/>
        <v>67156.541295</v>
      </c>
      <c r="R21" s="7">
        <f t="shared" si="5"/>
        <v>68791.5</v>
      </c>
      <c r="S21" s="7">
        <f t="shared" si="5"/>
        <v>70055.26791999998</v>
      </c>
      <c r="T21" s="7">
        <f t="shared" si="5"/>
        <v>69272.72204399997</v>
      </c>
      <c r="U21" s="7">
        <f t="shared" si="5"/>
        <v>67460.1</v>
      </c>
      <c r="V21" s="7">
        <f t="shared" si="5"/>
        <v>68491.685548</v>
      </c>
      <c r="W21" s="7">
        <f t="shared" si="5"/>
        <v>68627.03205999998</v>
      </c>
      <c r="X21" s="7">
        <f t="shared" si="5"/>
        <v>67254.4</v>
      </c>
      <c r="Y21" s="7">
        <f t="shared" si="5"/>
        <v>67132.0885</v>
      </c>
      <c r="Z21" s="7">
        <f t="shared" si="5"/>
        <v>66620.55244999999</v>
      </c>
      <c r="AA21" s="7">
        <f t="shared" si="5"/>
        <v>65423.3</v>
      </c>
      <c r="AB21" s="7">
        <f t="shared" si="5"/>
        <v>66568.772634</v>
      </c>
      <c r="AC21" s="7">
        <f t="shared" si="5"/>
        <v>66232.90034000001</v>
      </c>
      <c r="AD21" s="7">
        <f t="shared" si="5"/>
        <v>65576.09999999999</v>
      </c>
      <c r="AE21" s="7">
        <f t="shared" si="5"/>
        <v>65143.234186</v>
      </c>
      <c r="AF21" s="7">
        <f t="shared" si="5"/>
        <v>65442.70768000002</v>
      </c>
      <c r="AG21" s="7">
        <f t="shared" si="5"/>
        <v>65090.6</v>
      </c>
      <c r="AH21" s="7">
        <f t="shared" si="5"/>
        <v>65315.721414</v>
      </c>
      <c r="AI21" s="7">
        <f t="shared" si="5"/>
        <v>65006.99131999999</v>
      </c>
      <c r="AJ21" s="7">
        <f t="shared" si="5"/>
        <v>63050.2</v>
      </c>
      <c r="AK21" s="7">
        <f t="shared" si="5"/>
        <v>63735.41445200001</v>
      </c>
      <c r="AL21" s="7">
        <f t="shared" si="5"/>
        <v>65973.152384</v>
      </c>
      <c r="AM21" s="7">
        <f t="shared" si="5"/>
        <v>59946.100000000006</v>
      </c>
      <c r="AN21" s="7">
        <f t="shared" si="5"/>
        <v>60512.504535</v>
      </c>
      <c r="AO21" s="7">
        <f t="shared" si="5"/>
        <v>60665.25379040001</v>
      </c>
      <c r="AP21" s="7">
        <f t="shared" si="5"/>
        <v>59404.4</v>
      </c>
      <c r="AQ21" s="7">
        <f t="shared" si="5"/>
        <v>59792.55840599999</v>
      </c>
      <c r="AR21" s="7">
        <f t="shared" si="5"/>
        <v>59644.88874999997</v>
      </c>
      <c r="AS21" s="7">
        <f t="shared" si="5"/>
        <v>53251.532828799995</v>
      </c>
      <c r="AT21" s="7">
        <f t="shared" si="5"/>
        <v>52754.86482</v>
      </c>
      <c r="AU21" s="7">
        <f t="shared" si="5"/>
        <v>52513.281284</v>
      </c>
      <c r="AV21" s="7">
        <f t="shared" si="5"/>
        <v>52727.5</v>
      </c>
      <c r="AW21" s="7">
        <f t="shared" si="5"/>
        <v>51820.55700480001</v>
      </c>
      <c r="AX21" s="7">
        <f t="shared" si="5"/>
        <v>52144.131515999994</v>
      </c>
      <c r="AY21" s="7">
        <f t="shared" si="5"/>
        <v>51300.743107500006</v>
      </c>
      <c r="AZ21" s="7">
        <f t="shared" si="5"/>
        <v>50978.59231200001</v>
      </c>
      <c r="BA21" s="7">
        <f t="shared" si="5"/>
        <v>50674.95391999998</v>
      </c>
      <c r="BB21" s="7">
        <f t="shared" si="5"/>
        <v>52692.67750300001</v>
      </c>
      <c r="BC21" s="7">
        <f t="shared" si="5"/>
        <v>51551.10714959999</v>
      </c>
      <c r="BD21" s="7">
        <f t="shared" si="5"/>
        <v>51498.61978320002</v>
      </c>
      <c r="BE21" s="7">
        <f t="shared" si="5"/>
        <v>54699.04573679999</v>
      </c>
      <c r="BF21" s="7">
        <f t="shared" si="5"/>
        <v>46293.662473599994</v>
      </c>
      <c r="BG21" s="136">
        <f t="shared" si="5"/>
        <v>49594.885291</v>
      </c>
      <c r="BK21" s="27"/>
      <c r="BM21" s="59">
        <f>BJ17+BI17+BL16+BK16</f>
        <v>801124</v>
      </c>
      <c r="BN21" s="29" t="s">
        <v>102</v>
      </c>
    </row>
    <row r="22" spans="1:66" ht="12.75">
      <c r="A22" s="60" t="s">
        <v>11</v>
      </c>
      <c r="B22" s="8">
        <f t="shared" si="4"/>
        <v>357.4</v>
      </c>
      <c r="C22" s="8">
        <f t="shared" si="4"/>
        <v>2550.9</v>
      </c>
      <c r="D22" s="4">
        <f t="shared" si="4"/>
        <v>379.79999999999995</v>
      </c>
      <c r="E22" s="4">
        <f t="shared" si="4"/>
        <v>395.4</v>
      </c>
      <c r="F22" s="7">
        <f t="shared" si="4"/>
        <v>376.3</v>
      </c>
      <c r="G22" s="7">
        <f t="shared" si="4"/>
        <v>336.27</v>
      </c>
      <c r="H22" s="7">
        <f t="shared" si="4"/>
        <v>343.97</v>
      </c>
      <c r="I22" s="7">
        <f t="shared" si="4"/>
        <v>457</v>
      </c>
      <c r="J22" s="7">
        <f t="shared" si="4"/>
        <v>435.22</v>
      </c>
      <c r="K22" s="7">
        <f t="shared" si="4"/>
        <v>478.98999999999995</v>
      </c>
      <c r="L22" s="7">
        <f t="shared" si="4"/>
        <v>511.37</v>
      </c>
      <c r="M22" s="7">
        <f t="shared" si="4"/>
        <v>454.81</v>
      </c>
      <c r="N22" s="7">
        <f t="shared" si="4"/>
        <v>333.29</v>
      </c>
      <c r="O22" s="7">
        <f t="shared" si="4"/>
        <v>485.34000000000003</v>
      </c>
      <c r="P22" s="7">
        <f t="shared" si="4"/>
        <v>437.98999999999995</v>
      </c>
      <c r="Q22" s="7">
        <f t="shared" si="4"/>
        <v>215.61</v>
      </c>
      <c r="R22" s="7">
        <f t="shared" si="5"/>
        <v>144.7</v>
      </c>
      <c r="S22" s="7">
        <f t="shared" si="5"/>
        <v>235</v>
      </c>
      <c r="T22" s="7">
        <f t="shared" si="5"/>
        <v>361.90000000000003</v>
      </c>
      <c r="U22" s="7">
        <f t="shared" si="5"/>
        <v>408.1</v>
      </c>
      <c r="V22" s="7">
        <f t="shared" si="5"/>
        <v>338.59999999999997</v>
      </c>
      <c r="W22" s="7">
        <f t="shared" si="5"/>
        <v>361.4</v>
      </c>
      <c r="X22" s="7">
        <f t="shared" si="5"/>
        <v>372</v>
      </c>
      <c r="Y22" s="7">
        <f t="shared" si="5"/>
        <v>346.7</v>
      </c>
      <c r="Z22" s="7">
        <f t="shared" si="5"/>
        <v>340.40000000000003</v>
      </c>
      <c r="AA22" s="7">
        <f t="shared" si="5"/>
        <v>366.2</v>
      </c>
      <c r="AB22" s="7">
        <f t="shared" si="5"/>
        <v>346.8</v>
      </c>
      <c r="AC22" s="7">
        <f t="shared" si="5"/>
        <v>294.20000000000005</v>
      </c>
      <c r="AD22" s="7">
        <f t="shared" si="5"/>
        <v>204</v>
      </c>
      <c r="AE22" s="7">
        <f t="shared" si="5"/>
        <v>298.5</v>
      </c>
      <c r="AF22" s="7">
        <f t="shared" si="5"/>
        <v>374.4</v>
      </c>
      <c r="AG22" s="7">
        <f t="shared" si="5"/>
        <v>450.40000000000003</v>
      </c>
      <c r="AH22" s="7">
        <f t="shared" si="5"/>
        <v>410</v>
      </c>
      <c r="AI22" s="7">
        <f t="shared" si="5"/>
        <v>189.39999999999998</v>
      </c>
      <c r="AJ22" s="7">
        <f t="shared" si="5"/>
        <v>285.4</v>
      </c>
      <c r="AK22" s="7">
        <f t="shared" si="5"/>
        <v>410.5</v>
      </c>
      <c r="AL22" s="7">
        <f t="shared" si="5"/>
        <v>357.6</v>
      </c>
      <c r="AM22" s="7">
        <f t="shared" si="5"/>
        <v>466</v>
      </c>
      <c r="AN22" s="7">
        <f t="shared" si="5"/>
        <v>360.7</v>
      </c>
      <c r="AO22" s="7">
        <f t="shared" si="5"/>
        <v>340.40000000000003</v>
      </c>
      <c r="AP22" s="7">
        <f t="shared" si="5"/>
        <v>532.3</v>
      </c>
      <c r="AQ22" s="7">
        <f t="shared" si="5"/>
        <v>465.5</v>
      </c>
      <c r="AR22" s="7">
        <f t="shared" si="5"/>
        <v>418.3</v>
      </c>
      <c r="AS22" s="7">
        <f t="shared" si="5"/>
        <v>539.9</v>
      </c>
      <c r="AT22" s="7">
        <f t="shared" si="5"/>
        <v>392.7</v>
      </c>
      <c r="AU22" s="7">
        <f t="shared" si="5"/>
        <v>433.7</v>
      </c>
      <c r="AV22" s="7">
        <f t="shared" si="5"/>
        <v>529.3</v>
      </c>
      <c r="AW22" s="7">
        <f t="shared" si="5"/>
        <v>436.6</v>
      </c>
      <c r="AX22" s="7">
        <f t="shared" si="5"/>
        <v>536.6</v>
      </c>
      <c r="AY22" s="7">
        <f t="shared" si="5"/>
        <v>532.2</v>
      </c>
      <c r="AZ22" s="7">
        <f t="shared" si="5"/>
        <v>437.4</v>
      </c>
      <c r="BA22" s="7">
        <f t="shared" si="5"/>
        <v>481.90000000000003</v>
      </c>
      <c r="BB22" s="7">
        <f t="shared" si="5"/>
        <v>408.5</v>
      </c>
      <c r="BC22" s="7">
        <f t="shared" si="5"/>
        <v>477.7</v>
      </c>
      <c r="BD22" s="7">
        <f t="shared" si="5"/>
        <v>475.7</v>
      </c>
      <c r="BE22" s="7">
        <f t="shared" si="5"/>
        <v>571.7</v>
      </c>
      <c r="BF22" s="7">
        <f t="shared" si="5"/>
        <v>469.2</v>
      </c>
      <c r="BG22" s="136">
        <f t="shared" si="5"/>
        <v>625.8</v>
      </c>
      <c r="BI22" s="53"/>
      <c r="BM22" s="59">
        <f>BK17+BJ17+BI17+BL16</f>
        <v>830141.4</v>
      </c>
      <c r="BN22" s="29" t="s">
        <v>108</v>
      </c>
    </row>
    <row r="23" spans="1:66" ht="12.75">
      <c r="A23" s="21" t="s">
        <v>13</v>
      </c>
      <c r="B23" s="6"/>
      <c r="C23" s="6"/>
      <c r="D23" s="2"/>
      <c r="E23" s="2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136"/>
      <c r="BI23" s="53"/>
      <c r="BM23" s="59">
        <f>BI17+BJ17+BK17+BL17</f>
        <v>858659.6000000001</v>
      </c>
      <c r="BN23" s="29" t="s">
        <v>111</v>
      </c>
    </row>
    <row r="24" spans="1:66" ht="12.75">
      <c r="A24" s="21" t="s">
        <v>14</v>
      </c>
      <c r="B24" s="8">
        <f aca="true" t="shared" si="6" ref="B24:BG27">B91+B145</f>
        <v>65600.948752</v>
      </c>
      <c r="C24" s="8">
        <f t="shared" si="6"/>
        <v>81840.35424999999</v>
      </c>
      <c r="D24" s="4">
        <f t="shared" si="6"/>
        <v>90230.74076</v>
      </c>
      <c r="E24" s="4">
        <f t="shared" si="6"/>
        <v>103409.17220999999</v>
      </c>
      <c r="F24" s="7">
        <f t="shared" si="6"/>
        <v>111828.797566</v>
      </c>
      <c r="G24" s="7">
        <f t="shared" si="6"/>
        <v>115040.938592</v>
      </c>
      <c r="H24" s="7">
        <f t="shared" si="6"/>
        <v>121108.94352100001</v>
      </c>
      <c r="I24" s="7">
        <f t="shared" si="6"/>
        <v>117842.83194</v>
      </c>
      <c r="J24" s="7">
        <f t="shared" si="6"/>
        <v>115134.13406399998</v>
      </c>
      <c r="K24" s="7">
        <f t="shared" si="6"/>
        <v>118681.02284499998</v>
      </c>
      <c r="L24" s="7">
        <f t="shared" si="6"/>
        <v>116052.41197</v>
      </c>
      <c r="M24" s="7">
        <f t="shared" si="6"/>
        <v>119634.83123000001</v>
      </c>
      <c r="N24" s="7">
        <f t="shared" si="6"/>
        <v>122357.73461700001</v>
      </c>
      <c r="O24" s="7">
        <f t="shared" si="6"/>
        <v>121683.542085</v>
      </c>
      <c r="P24" s="7">
        <f t="shared" si="6"/>
        <v>120995.830292</v>
      </c>
      <c r="Q24" s="7">
        <f t="shared" si="6"/>
        <v>123857.06484</v>
      </c>
      <c r="R24" s="7">
        <f t="shared" si="6"/>
        <v>124234.238795</v>
      </c>
      <c r="S24" s="7">
        <f t="shared" si="6"/>
        <v>121064.527783</v>
      </c>
      <c r="T24" s="7">
        <f t="shared" si="6"/>
        <v>124995.48842400001</v>
      </c>
      <c r="U24" s="7">
        <f t="shared" si="6"/>
        <v>121451.50464</v>
      </c>
      <c r="V24" s="7">
        <f t="shared" si="6"/>
        <v>130915.98124200001</v>
      </c>
      <c r="W24" s="7">
        <f t="shared" si="6"/>
        <v>126549.542845</v>
      </c>
      <c r="X24" s="7">
        <f t="shared" si="6"/>
        <v>124888.90494</v>
      </c>
      <c r="Y24" s="7">
        <f t="shared" si="6"/>
        <v>131760.310972</v>
      </c>
      <c r="Z24" s="7">
        <f t="shared" si="6"/>
        <v>125325.61072999999</v>
      </c>
      <c r="AA24" s="7">
        <f t="shared" si="6"/>
        <v>128539.24068300001</v>
      </c>
      <c r="AB24" s="7">
        <f t="shared" si="6"/>
        <v>131419.133788</v>
      </c>
      <c r="AC24" s="7">
        <f t="shared" si="6"/>
        <v>133282.291</v>
      </c>
      <c r="AD24" s="7">
        <f t="shared" si="6"/>
        <v>137089.900819</v>
      </c>
      <c r="AE24" s="7">
        <f t="shared" si="6"/>
        <v>135272.976018</v>
      </c>
      <c r="AF24" s="7">
        <f t="shared" si="6"/>
        <v>137444.84904</v>
      </c>
      <c r="AG24" s="7">
        <f t="shared" si="6"/>
        <v>139504.901951</v>
      </c>
      <c r="AH24" s="7">
        <f t="shared" si="6"/>
        <v>143036.77861799998</v>
      </c>
      <c r="AI24" s="7">
        <f t="shared" si="6"/>
        <v>144427.61020199998</v>
      </c>
      <c r="AJ24" s="7">
        <f t="shared" si="6"/>
        <v>142433.837419</v>
      </c>
      <c r="AK24" s="7">
        <f t="shared" si="6"/>
        <v>139968.780012</v>
      </c>
      <c r="AL24" s="7">
        <f t="shared" si="6"/>
        <v>141538.813084</v>
      </c>
      <c r="AM24" s="7">
        <f t="shared" si="6"/>
        <v>144142.308886</v>
      </c>
      <c r="AN24" s="7">
        <f t="shared" si="6"/>
        <v>144312.044595</v>
      </c>
      <c r="AO24" s="7">
        <f t="shared" si="6"/>
        <v>144690.149164</v>
      </c>
      <c r="AP24" s="7">
        <f t="shared" si="6"/>
        <v>144947.012938</v>
      </c>
      <c r="AQ24" s="7">
        <f t="shared" si="6"/>
        <v>138140.201684</v>
      </c>
      <c r="AR24" s="7">
        <f t="shared" si="6"/>
        <v>141433.2450375</v>
      </c>
      <c r="AS24" s="7">
        <f t="shared" si="6"/>
        <v>143018.267264</v>
      </c>
      <c r="AT24" s="7">
        <f t="shared" si="6"/>
        <v>145401.641292</v>
      </c>
      <c r="AU24" s="7">
        <f t="shared" si="6"/>
        <v>146051.9188865</v>
      </c>
      <c r="AV24" s="7">
        <f t="shared" si="6"/>
        <v>149391.3120343</v>
      </c>
      <c r="AW24" s="7">
        <f t="shared" si="6"/>
        <v>151175.0373992</v>
      </c>
      <c r="AX24" s="7">
        <f t="shared" si="6"/>
        <v>155540.763436</v>
      </c>
      <c r="AY24" s="7">
        <f t="shared" si="6"/>
        <v>156626.5688001</v>
      </c>
      <c r="AZ24" s="7">
        <f t="shared" si="6"/>
        <v>162849.5880216</v>
      </c>
      <c r="BA24" s="7">
        <f t="shared" si="6"/>
        <v>160807.189888</v>
      </c>
      <c r="BB24" s="7">
        <f t="shared" si="6"/>
        <v>163841.218781</v>
      </c>
      <c r="BC24" s="7">
        <f t="shared" si="6"/>
        <v>164143.39237000002</v>
      </c>
      <c r="BD24" s="122">
        <f t="shared" si="6"/>
        <v>161137.6978224</v>
      </c>
      <c r="BE24" s="122">
        <f t="shared" si="6"/>
        <v>163432.7545176</v>
      </c>
      <c r="BF24" s="122">
        <f t="shared" si="6"/>
        <v>158394.5404728</v>
      </c>
      <c r="BG24" s="143">
        <f t="shared" si="6"/>
        <v>162894.09955</v>
      </c>
      <c r="BI24" s="146">
        <f>BG24-BB24</f>
        <v>-947.1192309999897</v>
      </c>
      <c r="BM24" s="59">
        <f>BI18+BL17+BK17+BJ17</f>
        <v>873824.7000000001</v>
      </c>
      <c r="BN24" s="29" t="s">
        <v>116</v>
      </c>
    </row>
    <row r="25" spans="1:66" ht="12.75">
      <c r="A25" s="21" t="s">
        <v>15</v>
      </c>
      <c r="B25" s="8">
        <f t="shared" si="6"/>
        <v>71406.83013439999</v>
      </c>
      <c r="C25" s="8">
        <f t="shared" si="6"/>
        <v>90533.3267459</v>
      </c>
      <c r="D25" s="4">
        <f t="shared" si="6"/>
        <v>104698.7913617</v>
      </c>
      <c r="E25" s="4">
        <f t="shared" si="6"/>
        <v>112172.77263379999</v>
      </c>
      <c r="F25" s="7">
        <f t="shared" si="6"/>
        <v>122445.1510818</v>
      </c>
      <c r="G25" s="7">
        <f t="shared" si="6"/>
        <v>114987.04000000001</v>
      </c>
      <c r="H25" s="7">
        <f t="shared" si="6"/>
        <v>115002.96031600001</v>
      </c>
      <c r="I25" s="7">
        <f t="shared" si="6"/>
        <v>109904.20048</v>
      </c>
      <c r="J25" s="7">
        <f t="shared" si="6"/>
        <v>110260.479526</v>
      </c>
      <c r="K25" s="7">
        <f t="shared" si="6"/>
        <v>110077.37391</v>
      </c>
      <c r="L25" s="7">
        <f t="shared" si="6"/>
        <v>111864.05164499999</v>
      </c>
      <c r="M25" s="7">
        <f t="shared" si="6"/>
        <v>106133.24561999999</v>
      </c>
      <c r="N25" s="7">
        <f t="shared" si="6"/>
        <v>106613.67206400003</v>
      </c>
      <c r="O25" s="7">
        <f t="shared" si="6"/>
        <v>106280.330167</v>
      </c>
      <c r="P25" s="7">
        <f t="shared" si="6"/>
        <v>115111.93565799999</v>
      </c>
      <c r="Q25" s="7">
        <f t="shared" si="6"/>
        <v>115281.10634</v>
      </c>
      <c r="R25" s="7">
        <f t="shared" si="6"/>
        <v>117459.58358899999</v>
      </c>
      <c r="S25" s="7">
        <f t="shared" si="6"/>
        <v>117946.052387</v>
      </c>
      <c r="T25" s="7">
        <f t="shared" si="6"/>
        <v>118057.77212400001</v>
      </c>
      <c r="U25" s="7">
        <f t="shared" si="6"/>
        <v>118555.04056599998</v>
      </c>
      <c r="V25" s="7">
        <f t="shared" si="6"/>
        <v>117852.16544</v>
      </c>
      <c r="W25" s="7">
        <f t="shared" si="6"/>
        <v>123092.145315</v>
      </c>
      <c r="X25" s="7">
        <f t="shared" si="6"/>
        <v>116828.26863</v>
      </c>
      <c r="Y25" s="7">
        <f t="shared" si="6"/>
        <v>114087.94627399999</v>
      </c>
      <c r="Z25" s="7">
        <f t="shared" si="6"/>
        <v>114414.96590000001</v>
      </c>
      <c r="AA25" s="7">
        <f t="shared" si="6"/>
        <v>114283.604318</v>
      </c>
      <c r="AB25" s="7">
        <f t="shared" si="6"/>
        <v>119807.06516299999</v>
      </c>
      <c r="AC25" s="7">
        <f t="shared" si="6"/>
        <v>119907.32492</v>
      </c>
      <c r="AD25" s="7">
        <f t="shared" si="6"/>
        <v>119643.34587859998</v>
      </c>
      <c r="AE25" s="7">
        <f t="shared" si="6"/>
        <v>118945.34358800002</v>
      </c>
      <c r="AF25" s="7">
        <f t="shared" si="6"/>
        <v>119056.9782</v>
      </c>
      <c r="AG25" s="7">
        <f t="shared" si="6"/>
        <v>121061.76905</v>
      </c>
      <c r="AH25" s="7">
        <f t="shared" si="6"/>
        <v>128321.0425</v>
      </c>
      <c r="AI25" s="7">
        <f t="shared" si="6"/>
        <v>128984.40161799999</v>
      </c>
      <c r="AJ25" s="7">
        <f t="shared" si="6"/>
        <v>127929.676453</v>
      </c>
      <c r="AK25" s="7">
        <f t="shared" si="6"/>
        <v>127714.007644</v>
      </c>
      <c r="AL25" s="7">
        <f t="shared" si="6"/>
        <v>130674.754186</v>
      </c>
      <c r="AM25" s="7">
        <f t="shared" si="6"/>
        <v>125712.52124399999</v>
      </c>
      <c r="AN25" s="7">
        <f t="shared" si="6"/>
        <v>129632.99347</v>
      </c>
      <c r="AO25" s="7">
        <f t="shared" si="6"/>
        <v>130962.148758</v>
      </c>
      <c r="AP25" s="7">
        <f t="shared" si="6"/>
        <v>130653.47005499998</v>
      </c>
      <c r="AQ25" s="7">
        <f t="shared" si="6"/>
        <v>130681.38476800002</v>
      </c>
      <c r="AR25" s="7">
        <f t="shared" si="6"/>
        <v>140161.734875</v>
      </c>
      <c r="AS25" s="7">
        <f t="shared" si="6"/>
        <v>134104.302816</v>
      </c>
      <c r="AT25" s="7">
        <f t="shared" si="6"/>
        <v>133543.10912500002</v>
      </c>
      <c r="AU25" s="7">
        <f t="shared" si="6"/>
        <v>133030.96126</v>
      </c>
      <c r="AV25" s="7">
        <f t="shared" si="6"/>
        <v>126643.77010640001</v>
      </c>
      <c r="AW25" s="7">
        <f t="shared" si="6"/>
        <v>125117.0100088</v>
      </c>
      <c r="AX25" s="7">
        <f t="shared" si="6"/>
        <v>125782.349572</v>
      </c>
      <c r="AY25" s="7">
        <f t="shared" si="6"/>
        <v>127562.27445850002</v>
      </c>
      <c r="AZ25" s="7">
        <f t="shared" si="6"/>
        <v>135147.94090800002</v>
      </c>
      <c r="BA25" s="7">
        <f t="shared" si="6"/>
        <v>134631.28276799998</v>
      </c>
      <c r="BB25" s="7">
        <f t="shared" si="6"/>
        <v>136125.12615770003</v>
      </c>
      <c r="BC25" s="7">
        <f t="shared" si="6"/>
        <v>134191.72506240002</v>
      </c>
      <c r="BD25" s="122">
        <f t="shared" si="6"/>
        <v>134324.5266176</v>
      </c>
      <c r="BE25" s="122">
        <f t="shared" si="6"/>
        <v>134843.9745388</v>
      </c>
      <c r="BF25" s="122">
        <f t="shared" si="6"/>
        <v>143960.4126574</v>
      </c>
      <c r="BG25" s="143">
        <f t="shared" si="6"/>
        <v>145564.97059619997</v>
      </c>
      <c r="BI25" s="146">
        <f>BG25-BB25</f>
        <v>9439.844438499946</v>
      </c>
      <c r="BJ25" s="11" t="e">
        <f>BI25/BL5</f>
        <v>#DIV/0!</v>
      </c>
      <c r="BM25" s="59">
        <f>BJ18+BI18+BL17+BK17</f>
        <v>893002.4</v>
      </c>
      <c r="BN25" s="29" t="s">
        <v>122</v>
      </c>
    </row>
    <row r="26" spans="1:66" ht="12.75">
      <c r="A26" s="21" t="s">
        <v>16</v>
      </c>
      <c r="B26" s="8">
        <f t="shared" si="6"/>
        <v>6324.163622399999</v>
      </c>
      <c r="C26" s="8">
        <f t="shared" si="6"/>
        <v>5505.925658900001</v>
      </c>
      <c r="D26" s="4">
        <f t="shared" si="6"/>
        <v>12184.670603700002</v>
      </c>
      <c r="E26" s="4">
        <f t="shared" si="6"/>
        <v>16145.111180700002</v>
      </c>
      <c r="F26" s="7">
        <f t="shared" si="6"/>
        <v>24672.4129785</v>
      </c>
      <c r="G26" s="7">
        <f t="shared" si="6"/>
        <v>26220.241819000003</v>
      </c>
      <c r="H26" s="7">
        <f t="shared" si="6"/>
        <v>26458.647437000003</v>
      </c>
      <c r="I26" s="7">
        <f t="shared" si="6"/>
        <v>27342.8039425</v>
      </c>
      <c r="J26" s="7">
        <f t="shared" si="6"/>
        <v>26176.816888</v>
      </c>
      <c r="K26" s="7">
        <f t="shared" si="6"/>
        <v>26632.890941499994</v>
      </c>
      <c r="L26" s="7">
        <f t="shared" si="6"/>
        <v>26308.5940515</v>
      </c>
      <c r="M26" s="7">
        <f t="shared" si="6"/>
        <v>26407.694585999998</v>
      </c>
      <c r="N26" s="7">
        <f t="shared" si="6"/>
        <v>25862.569191000002</v>
      </c>
      <c r="O26" s="7">
        <f t="shared" si="6"/>
        <v>25713.540783</v>
      </c>
      <c r="P26" s="7">
        <f t="shared" si="6"/>
        <v>26196.992167999997</v>
      </c>
      <c r="Q26" s="7">
        <f t="shared" si="6"/>
        <v>27156.085299999995</v>
      </c>
      <c r="R26" s="7">
        <f t="shared" si="6"/>
        <v>26844.224280499995</v>
      </c>
      <c r="S26" s="7">
        <f t="shared" si="6"/>
        <v>26840.318529999997</v>
      </c>
      <c r="T26" s="7">
        <f t="shared" si="6"/>
        <v>26414.538259999998</v>
      </c>
      <c r="U26" s="7">
        <f t="shared" si="6"/>
        <v>25257.090908</v>
      </c>
      <c r="V26" s="7">
        <f t="shared" si="6"/>
        <v>25116.234002</v>
      </c>
      <c r="W26" s="7">
        <f t="shared" si="6"/>
        <v>25712.10771</v>
      </c>
      <c r="X26" s="7">
        <f t="shared" si="6"/>
        <v>25847.985900000003</v>
      </c>
      <c r="Y26" s="7">
        <f t="shared" si="6"/>
        <v>25866.572549999997</v>
      </c>
      <c r="Z26" s="7">
        <f t="shared" si="6"/>
        <v>25319.677249999997</v>
      </c>
      <c r="AA26" s="7">
        <f t="shared" si="6"/>
        <v>25137.965814000003</v>
      </c>
      <c r="AB26" s="7">
        <f t="shared" si="6"/>
        <v>25888.037846999996</v>
      </c>
      <c r="AC26" s="7">
        <f t="shared" si="6"/>
        <v>26676.06176</v>
      </c>
      <c r="AD26" s="7">
        <f t="shared" si="6"/>
        <v>26854.611240500002</v>
      </c>
      <c r="AE26" s="7">
        <f t="shared" si="6"/>
        <v>26265.891842</v>
      </c>
      <c r="AF26" s="7">
        <f t="shared" si="6"/>
        <v>26540.53488</v>
      </c>
      <c r="AG26" s="7">
        <f t="shared" si="6"/>
        <v>26456.080041</v>
      </c>
      <c r="AH26" s="7">
        <f t="shared" si="6"/>
        <v>25673.437559</v>
      </c>
      <c r="AI26" s="7">
        <f t="shared" si="6"/>
        <v>25163.262866000005</v>
      </c>
      <c r="AJ26" s="7">
        <f t="shared" si="6"/>
        <v>24549.850728</v>
      </c>
      <c r="AK26" s="7">
        <f t="shared" si="6"/>
        <v>23924.684441999998</v>
      </c>
      <c r="AL26" s="7">
        <f t="shared" si="6"/>
        <v>23697.918016000003</v>
      </c>
      <c r="AM26" s="7">
        <f t="shared" si="6"/>
        <v>23820.510836999998</v>
      </c>
      <c r="AN26" s="7">
        <f t="shared" si="6"/>
        <v>24019.393379999998</v>
      </c>
      <c r="AO26" s="7">
        <f t="shared" si="6"/>
        <v>23836.889316</v>
      </c>
      <c r="AP26" s="7">
        <f t="shared" si="6"/>
        <v>23646.762014999993</v>
      </c>
      <c r="AQ26" s="7">
        <f t="shared" si="6"/>
        <v>22734.441954</v>
      </c>
      <c r="AR26" s="7">
        <f t="shared" si="6"/>
        <v>23111.041125000003</v>
      </c>
      <c r="AS26" s="7">
        <f t="shared" si="6"/>
        <v>22824.933648</v>
      </c>
      <c r="AT26" s="7">
        <f t="shared" si="6"/>
        <v>23184.417912</v>
      </c>
      <c r="AU26" s="7">
        <f t="shared" si="6"/>
        <v>23913.296988000002</v>
      </c>
      <c r="AV26" s="7">
        <f t="shared" si="6"/>
        <v>27966.3286588</v>
      </c>
      <c r="AW26" s="7">
        <f t="shared" si="6"/>
        <v>27560.9142629</v>
      </c>
      <c r="AX26" s="7">
        <f t="shared" si="6"/>
        <v>27729.361955999997</v>
      </c>
      <c r="AY26" s="7">
        <f t="shared" si="6"/>
        <v>27947.028795500002</v>
      </c>
      <c r="AZ26" s="7">
        <f t="shared" si="6"/>
        <v>28540.742229999996</v>
      </c>
      <c r="BA26" s="7">
        <f t="shared" si="6"/>
        <v>28410.065503999995</v>
      </c>
      <c r="BB26" s="7">
        <f t="shared" si="6"/>
        <v>28267.628868000003</v>
      </c>
      <c r="BC26" s="7">
        <f t="shared" si="6"/>
        <v>28615.507893200003</v>
      </c>
      <c r="BD26" s="7">
        <f t="shared" si="6"/>
        <v>28793.238327200004</v>
      </c>
      <c r="BE26" s="7">
        <f t="shared" si="6"/>
        <v>29297.5271132</v>
      </c>
      <c r="BF26" s="7">
        <f t="shared" si="6"/>
        <v>29246.126184600005</v>
      </c>
      <c r="BG26" s="136">
        <f t="shared" si="6"/>
        <v>29325.5084601</v>
      </c>
      <c r="BI26" s="146">
        <f>BG26-BB26</f>
        <v>1057.8795920999983</v>
      </c>
      <c r="BJ26" s="144"/>
      <c r="BM26" s="59">
        <f>BK18+BJ18+BI18+BL17</f>
        <v>917954.2</v>
      </c>
      <c r="BN26" s="29" t="s">
        <v>125</v>
      </c>
    </row>
    <row r="27" spans="1:66" ht="12.75">
      <c r="A27" s="21" t="s">
        <v>17</v>
      </c>
      <c r="B27" s="8">
        <f t="shared" si="6"/>
        <v>14837.660000000002</v>
      </c>
      <c r="C27" s="8">
        <f t="shared" si="6"/>
        <v>13155.677669</v>
      </c>
      <c r="D27" s="4">
        <f t="shared" si="6"/>
        <v>12647.321416100001</v>
      </c>
      <c r="E27" s="4">
        <f t="shared" si="6"/>
        <v>7155.254181399991</v>
      </c>
      <c r="F27" s="7">
        <f t="shared" si="6"/>
        <v>3248.9031857000155</v>
      </c>
      <c r="G27" s="7">
        <f t="shared" si="6"/>
        <v>3362.675256000006</v>
      </c>
      <c r="H27" s="7">
        <f t="shared" si="6"/>
        <v>2593.375448999999</v>
      </c>
      <c r="I27" s="7">
        <f t="shared" si="6"/>
        <v>1003.9636375000009</v>
      </c>
      <c r="J27" s="7">
        <f t="shared" si="6"/>
        <v>2588.323276000003</v>
      </c>
      <c r="K27" s="7">
        <f t="shared" si="6"/>
        <v>2542.2677540000077</v>
      </c>
      <c r="L27" s="7">
        <f t="shared" si="6"/>
        <v>841.5123335000026</v>
      </c>
      <c r="M27" s="7">
        <f t="shared" si="6"/>
        <v>2452.4955000000045</v>
      </c>
      <c r="N27" s="7">
        <f t="shared" si="6"/>
        <v>2423.029070000008</v>
      </c>
      <c r="O27" s="7">
        <f t="shared" si="6"/>
        <v>905.8869650000051</v>
      </c>
      <c r="P27" s="7">
        <f t="shared" si="6"/>
        <v>2476.7133599999943</v>
      </c>
      <c r="Q27" s="7">
        <f t="shared" si="6"/>
        <v>2411.8466349999726</v>
      </c>
      <c r="R27" s="7">
        <f t="shared" si="6"/>
        <v>613.1833355000017</v>
      </c>
      <c r="S27" s="7">
        <f t="shared" si="6"/>
        <v>2474.4140509999925</v>
      </c>
      <c r="T27" s="7">
        <f t="shared" si="6"/>
        <v>2588.488071999971</v>
      </c>
      <c r="U27" s="7">
        <f t="shared" si="6"/>
        <v>982.0588319999988</v>
      </c>
      <c r="V27" s="7">
        <f t="shared" si="6"/>
        <v>2584.1761839999854</v>
      </c>
      <c r="W27" s="7">
        <f t="shared" si="6"/>
        <v>2552.1555499999813</v>
      </c>
      <c r="X27" s="7">
        <f t="shared" si="6"/>
        <v>1258.7540100000006</v>
      </c>
      <c r="Y27" s="7">
        <f t="shared" si="6"/>
        <v>2879.7811140000085</v>
      </c>
      <c r="Z27" s="7">
        <f t="shared" si="6"/>
        <v>2623.2896399999954</v>
      </c>
      <c r="AA27" s="7">
        <f t="shared" si="6"/>
        <v>1212.521019000007</v>
      </c>
      <c r="AB27" s="7">
        <f t="shared" si="6"/>
        <v>2456.642810999987</v>
      </c>
      <c r="AC27" s="7">
        <f t="shared" si="6"/>
        <v>2550.749760000006</v>
      </c>
      <c r="AD27" s="7">
        <f t="shared" si="6"/>
        <v>1965.2320618999765</v>
      </c>
      <c r="AE27" s="7">
        <f t="shared" si="6"/>
        <v>2310.899779999996</v>
      </c>
      <c r="AF27" s="7">
        <f t="shared" si="6"/>
        <v>2508.8638000000064</v>
      </c>
      <c r="AG27" s="7">
        <f t="shared" si="6"/>
        <v>1584.8789580000048</v>
      </c>
      <c r="AH27" s="7">
        <f t="shared" si="6"/>
        <v>2405.958309000016</v>
      </c>
      <c r="AI27" s="7">
        <f t="shared" si="6"/>
        <v>2521.562147999979</v>
      </c>
      <c r="AJ27" s="7">
        <f t="shared" si="6"/>
        <v>1392.3653999999988</v>
      </c>
      <c r="AK27" s="7">
        <f t="shared" si="6"/>
        <v>2633.102108000021</v>
      </c>
      <c r="AL27" s="7">
        <f t="shared" si="6"/>
        <v>2209.088531999987</v>
      </c>
      <c r="AM27" s="7">
        <f t="shared" si="6"/>
        <v>971.6260540000148</v>
      </c>
      <c r="AN27" s="7">
        <f t="shared" si="6"/>
        <v>2179.826955000004</v>
      </c>
      <c r="AO27" s="7">
        <f t="shared" si="6"/>
        <v>2175.8084244000165</v>
      </c>
      <c r="AP27" s="7">
        <f t="shared" si="6"/>
        <v>1911.2549920000201</v>
      </c>
      <c r="AQ27" s="7">
        <f t="shared" si="6"/>
        <v>2113.5185039999924</v>
      </c>
      <c r="AR27" s="7">
        <f t="shared" si="6"/>
        <v>2010.605212499955</v>
      </c>
      <c r="AS27" s="7">
        <f t="shared" si="6"/>
        <v>1814.451916799986</v>
      </c>
      <c r="AT27" s="7">
        <f t="shared" si="6"/>
        <v>1796.1923059999863</v>
      </c>
      <c r="AU27" s="7">
        <f t="shared" si="6"/>
        <v>1855.5277994999778</v>
      </c>
      <c r="AV27" s="7">
        <f t="shared" si="6"/>
        <v>1851.5592004999853</v>
      </c>
      <c r="AW27" s="7">
        <f t="shared" si="6"/>
        <v>1799.5894909000126</v>
      </c>
      <c r="AX27" s="7">
        <f t="shared" si="6"/>
        <v>1809.8039520000093</v>
      </c>
      <c r="AY27" s="7">
        <f t="shared" si="6"/>
        <v>1276.0442844000027</v>
      </c>
      <c r="AZ27" s="7">
        <f t="shared" si="6"/>
        <v>1786.7917163999991</v>
      </c>
      <c r="BA27" s="7">
        <f t="shared" si="6"/>
        <v>1772.352959999993</v>
      </c>
      <c r="BB27" s="7">
        <f t="shared" si="6"/>
        <v>1812.704021299971</v>
      </c>
      <c r="BC27" s="7">
        <f t="shared" si="6"/>
        <v>1860.8237479999807</v>
      </c>
      <c r="BD27" s="7">
        <f t="shared" si="6"/>
        <v>1826.9384799999789</v>
      </c>
      <c r="BE27" s="7">
        <f t="shared" si="6"/>
        <v>1818.551347200013</v>
      </c>
      <c r="BF27" s="7">
        <f t="shared" si="6"/>
        <v>1809.229418799976</v>
      </c>
      <c r="BG27" s="136">
        <f t="shared" si="6"/>
        <v>1853.0899497000137</v>
      </c>
      <c r="BI27" s="146">
        <f>BG27-BB27</f>
        <v>40.38592840004276</v>
      </c>
      <c r="BM27" s="59">
        <f>BL18+BK18+BJ18+BI18</f>
        <v>944220.2</v>
      </c>
      <c r="BN27" s="29" t="s">
        <v>137</v>
      </c>
    </row>
    <row r="28" spans="1:66" s="86" customFormat="1" ht="12.75">
      <c r="A28" s="155" t="s">
        <v>18</v>
      </c>
      <c r="B28" s="156">
        <f aca="true" t="shared" si="7" ref="B28:BC28">B29+B30</f>
        <v>159617.1</v>
      </c>
      <c r="C28" s="156">
        <f t="shared" si="7"/>
        <v>193200.90000000002</v>
      </c>
      <c r="D28" s="156">
        <f t="shared" si="7"/>
        <v>222841.89684</v>
      </c>
      <c r="E28" s="156">
        <f t="shared" si="7"/>
        <v>238882.2652059</v>
      </c>
      <c r="F28" s="156">
        <f t="shared" si="7"/>
        <v>262195.22481199994</v>
      </c>
      <c r="G28" s="156">
        <f t="shared" si="7"/>
        <v>259754.38518700004</v>
      </c>
      <c r="H28" s="156">
        <f t="shared" si="7"/>
        <v>265163.936723</v>
      </c>
      <c r="I28" s="156">
        <f t="shared" si="7"/>
        <v>256093.778702</v>
      </c>
      <c r="J28" s="156">
        <f t="shared" si="7"/>
        <v>254159.753754</v>
      </c>
      <c r="K28" s="156">
        <f t="shared" si="7"/>
        <v>257933.59984549996</v>
      </c>
      <c r="L28" s="156">
        <f t="shared" si="7"/>
        <v>255066.59772</v>
      </c>
      <c r="M28" s="156">
        <f t="shared" si="7"/>
        <v>254628.26693599997</v>
      </c>
      <c r="N28" s="156">
        <f t="shared" si="7"/>
        <v>257257.00494199997</v>
      </c>
      <c r="O28" s="156">
        <f t="shared" si="7"/>
        <v>254583.35497999997</v>
      </c>
      <c r="P28" s="156">
        <f t="shared" si="7"/>
        <v>264781.461478</v>
      </c>
      <c r="Q28" s="156">
        <f t="shared" si="7"/>
        <v>268688.813115</v>
      </c>
      <c r="R28" s="156">
        <f t="shared" si="7"/>
        <v>269151.26645999996</v>
      </c>
      <c r="S28" s="156">
        <f t="shared" si="7"/>
        <v>268325.362751</v>
      </c>
      <c r="T28" s="156">
        <f t="shared" si="7"/>
        <v>272056.271572</v>
      </c>
      <c r="U28" s="156">
        <f t="shared" si="7"/>
        <v>266245.624946</v>
      </c>
      <c r="V28" s="156">
        <f t="shared" si="7"/>
        <v>276468.54686800006</v>
      </c>
      <c r="W28" s="156">
        <f t="shared" si="7"/>
        <v>277906.06142</v>
      </c>
      <c r="X28" s="156">
        <f t="shared" si="7"/>
        <v>268824.17911</v>
      </c>
      <c r="Y28" s="156">
        <f t="shared" si="7"/>
        <v>274594.775564</v>
      </c>
      <c r="Z28" s="156">
        <f t="shared" si="7"/>
        <v>267683.548055</v>
      </c>
      <c r="AA28" s="156">
        <f t="shared" si="7"/>
        <v>269172.970067</v>
      </c>
      <c r="AB28" s="156">
        <f t="shared" si="7"/>
        <v>279565.032199</v>
      </c>
      <c r="AC28" s="156">
        <f t="shared" si="7"/>
        <v>282416.40744</v>
      </c>
      <c r="AD28" s="156">
        <f t="shared" si="7"/>
        <v>285553.038039</v>
      </c>
      <c r="AE28" s="156">
        <f t="shared" si="7"/>
        <v>282795.12122800003</v>
      </c>
      <c r="AF28" s="156">
        <f t="shared" si="7"/>
        <v>285551.27108000003</v>
      </c>
      <c r="AG28" s="156">
        <f t="shared" si="7"/>
        <v>288607.715267</v>
      </c>
      <c r="AH28" s="156">
        <f t="shared" si="7"/>
        <v>299437.33698599995</v>
      </c>
      <c r="AI28" s="156">
        <f t="shared" si="7"/>
        <v>301096.83683399996</v>
      </c>
      <c r="AJ28" s="156">
        <f t="shared" si="7"/>
        <v>296305.699357</v>
      </c>
      <c r="AK28" s="156">
        <f t="shared" si="7"/>
        <v>294240.701</v>
      </c>
      <c r="AL28" s="156">
        <f t="shared" si="7"/>
        <v>298120.573818</v>
      </c>
      <c r="AM28" s="156">
        <f t="shared" si="7"/>
        <v>294647.007021</v>
      </c>
      <c r="AN28" s="156">
        <f t="shared" si="7"/>
        <v>300144.3084</v>
      </c>
      <c r="AO28" s="156">
        <f t="shared" si="7"/>
        <v>301664.9556624</v>
      </c>
      <c r="AP28" s="156">
        <f t="shared" si="7"/>
        <v>301158.38976199995</v>
      </c>
      <c r="AQ28" s="156">
        <f t="shared" si="7"/>
        <v>293669.573492</v>
      </c>
      <c r="AR28" s="156">
        <f t="shared" si="7"/>
        <v>306716.5696249999</v>
      </c>
      <c r="AS28" s="156">
        <f t="shared" si="7"/>
        <v>301761.9856448</v>
      </c>
      <c r="AT28" s="156">
        <f t="shared" si="7"/>
        <v>303925.27063499996</v>
      </c>
      <c r="AU28" s="156">
        <f t="shared" si="7"/>
        <v>304851.72493399994</v>
      </c>
      <c r="AV28" s="156">
        <f t="shared" si="7"/>
        <v>305852.9117706</v>
      </c>
      <c r="AW28" s="156">
        <f t="shared" si="7"/>
        <v>305652.5311618</v>
      </c>
      <c r="AX28" s="156">
        <f t="shared" si="7"/>
        <v>310862.298916</v>
      </c>
      <c r="AY28" s="156">
        <f t="shared" si="7"/>
        <v>313411.86633850005</v>
      </c>
      <c r="AZ28" s="156">
        <f t="shared" si="7"/>
        <v>328325.05287599994</v>
      </c>
      <c r="BA28" s="156">
        <f t="shared" si="7"/>
        <v>325620.8611199999</v>
      </c>
      <c r="BB28" s="156">
        <f t="shared" si="7"/>
        <v>330046.952573</v>
      </c>
      <c r="BC28" s="156">
        <f t="shared" si="7"/>
        <v>328811.48907360004</v>
      </c>
      <c r="BD28" s="156">
        <f>BD29+BD30</f>
        <v>326082.3312472</v>
      </c>
      <c r="BE28" s="156">
        <f>BE29+BE30</f>
        <v>329392.7875168</v>
      </c>
      <c r="BF28" s="156">
        <f>BF29+BF30</f>
        <v>333410.17873359995</v>
      </c>
      <c r="BG28" s="156">
        <f>BG29+BG30</f>
        <v>339637.6385560001</v>
      </c>
      <c r="BH28" s="85"/>
      <c r="BI28" s="157"/>
      <c r="BN28" s="158" t="s">
        <v>138</v>
      </c>
    </row>
    <row r="29" spans="1:66" s="86" customFormat="1" ht="12.75">
      <c r="A29" s="155" t="s">
        <v>19</v>
      </c>
      <c r="B29" s="159">
        <f aca="true" t="shared" si="8" ref="B29:BC29">B95</f>
        <v>87866.35</v>
      </c>
      <c r="C29" s="159">
        <f t="shared" si="8"/>
        <v>104408.17</v>
      </c>
      <c r="D29" s="159">
        <f t="shared" si="8"/>
        <v>117373.71</v>
      </c>
      <c r="E29" s="159">
        <f t="shared" si="8"/>
        <v>123742.48999999999</v>
      </c>
      <c r="F29" s="159">
        <f t="shared" si="8"/>
        <v>130924.04000000001</v>
      </c>
      <c r="G29" s="159">
        <f t="shared" si="8"/>
        <v>131621.7</v>
      </c>
      <c r="H29" s="159">
        <f t="shared" si="8"/>
        <v>137698.9</v>
      </c>
      <c r="I29" s="159">
        <f t="shared" si="8"/>
        <v>136486.6</v>
      </c>
      <c r="J29" s="159">
        <f t="shared" si="8"/>
        <v>133081.35</v>
      </c>
      <c r="K29" s="159">
        <f t="shared" si="8"/>
        <v>135048.25</v>
      </c>
      <c r="L29" s="159">
        <f t="shared" si="8"/>
        <v>135444.23</v>
      </c>
      <c r="M29" s="159">
        <f t="shared" si="8"/>
        <v>131878.19</v>
      </c>
      <c r="N29" s="159">
        <f t="shared" si="8"/>
        <v>134627.91999999998</v>
      </c>
      <c r="O29" s="159">
        <f t="shared" si="8"/>
        <v>134627.91999999998</v>
      </c>
      <c r="P29" s="159">
        <f t="shared" si="8"/>
        <v>134627.91999999998</v>
      </c>
      <c r="Q29" s="159">
        <f t="shared" si="8"/>
        <v>134627.91999999998</v>
      </c>
      <c r="R29" s="159">
        <f t="shared" si="8"/>
        <v>134627.91999999998</v>
      </c>
      <c r="S29" s="159">
        <f t="shared" si="8"/>
        <v>134627.91999999998</v>
      </c>
      <c r="T29" s="159">
        <f t="shared" si="8"/>
        <v>123476.9</v>
      </c>
      <c r="U29" s="159">
        <f t="shared" si="8"/>
        <v>123476.9</v>
      </c>
      <c r="V29" s="159">
        <f t="shared" si="8"/>
        <v>123476.9</v>
      </c>
      <c r="W29" s="159">
        <f t="shared" si="8"/>
        <v>123476.9</v>
      </c>
      <c r="X29" s="159">
        <f t="shared" si="8"/>
        <v>123476.9</v>
      </c>
      <c r="Y29" s="159">
        <f t="shared" si="8"/>
        <v>123476.9</v>
      </c>
      <c r="Z29" s="159">
        <f t="shared" si="8"/>
        <v>123476.9</v>
      </c>
      <c r="AA29" s="159">
        <f t="shared" si="8"/>
        <v>123476.9</v>
      </c>
      <c r="AB29" s="159">
        <f t="shared" si="8"/>
        <v>123476.9</v>
      </c>
      <c r="AC29" s="159">
        <f t="shared" si="8"/>
        <v>123476.9</v>
      </c>
      <c r="AD29" s="159">
        <f t="shared" si="8"/>
        <v>123476.9</v>
      </c>
      <c r="AE29" s="159">
        <f t="shared" si="8"/>
        <v>123476.9</v>
      </c>
      <c r="AF29" s="159">
        <f t="shared" si="8"/>
        <v>123476.9</v>
      </c>
      <c r="AG29" s="159">
        <f t="shared" si="8"/>
        <v>123476.9</v>
      </c>
      <c r="AH29" s="159">
        <f t="shared" si="8"/>
        <v>123476.9</v>
      </c>
      <c r="AI29" s="159">
        <f t="shared" si="8"/>
        <v>123476.9</v>
      </c>
      <c r="AJ29" s="159">
        <f t="shared" si="8"/>
        <v>123476.9</v>
      </c>
      <c r="AK29" s="159">
        <f t="shared" si="8"/>
        <v>123476.9</v>
      </c>
      <c r="AL29" s="159">
        <f t="shared" si="8"/>
        <v>123476.9</v>
      </c>
      <c r="AM29" s="159">
        <f t="shared" si="8"/>
        <v>123476.9</v>
      </c>
      <c r="AN29" s="159">
        <f t="shared" si="8"/>
        <v>123476.9</v>
      </c>
      <c r="AO29" s="159">
        <f t="shared" si="8"/>
        <v>123476.9</v>
      </c>
      <c r="AP29" s="159">
        <f t="shared" si="8"/>
        <v>123476.9</v>
      </c>
      <c r="AQ29" s="159">
        <f t="shared" si="8"/>
        <v>123476.9</v>
      </c>
      <c r="AR29" s="159">
        <f t="shared" si="8"/>
        <v>123476.9</v>
      </c>
      <c r="AS29" s="159">
        <f t="shared" si="8"/>
        <v>123476.9</v>
      </c>
      <c r="AT29" s="159">
        <f t="shared" si="8"/>
        <v>123476.9</v>
      </c>
      <c r="AU29" s="159">
        <f t="shared" si="8"/>
        <v>123476.9</v>
      </c>
      <c r="AV29" s="159">
        <f t="shared" si="8"/>
        <v>123476.9</v>
      </c>
      <c r="AW29" s="159">
        <f t="shared" si="8"/>
        <v>123476.9</v>
      </c>
      <c r="AX29" s="159">
        <f t="shared" si="8"/>
        <v>123476.9</v>
      </c>
      <c r="AY29" s="159">
        <f t="shared" si="8"/>
        <v>123476.9</v>
      </c>
      <c r="AZ29" s="159">
        <f t="shared" si="8"/>
        <v>123476.9</v>
      </c>
      <c r="BA29" s="159">
        <f t="shared" si="8"/>
        <v>123476.9</v>
      </c>
      <c r="BB29" s="159">
        <f t="shared" si="8"/>
        <v>123476.9</v>
      </c>
      <c r="BC29" s="159">
        <f t="shared" si="8"/>
        <v>123476.9</v>
      </c>
      <c r="BD29" s="159">
        <f>BD95</f>
        <v>123476.9</v>
      </c>
      <c r="BE29" s="159">
        <f>BE95</f>
        <v>123476.9</v>
      </c>
      <c r="BF29" s="159">
        <f>BF95</f>
        <v>123476.9</v>
      </c>
      <c r="BG29" s="159">
        <f>BG95</f>
        <v>123476.9</v>
      </c>
      <c r="BH29" s="85"/>
      <c r="BI29" s="157"/>
      <c r="BN29" s="158" t="s">
        <v>139</v>
      </c>
    </row>
    <row r="30" spans="1:66" s="86" customFormat="1" ht="12.75">
      <c r="A30" s="155" t="s">
        <v>20</v>
      </c>
      <c r="B30" s="159">
        <f aca="true" t="shared" si="9" ref="B30:BC30">B149</f>
        <v>71750.75</v>
      </c>
      <c r="C30" s="159">
        <f t="shared" si="9"/>
        <v>88792.73000000001</v>
      </c>
      <c r="D30" s="159">
        <f t="shared" si="9"/>
        <v>105468.18684000001</v>
      </c>
      <c r="E30" s="159">
        <f t="shared" si="9"/>
        <v>115139.7752059</v>
      </c>
      <c r="F30" s="159">
        <f t="shared" si="9"/>
        <v>131271.18481199996</v>
      </c>
      <c r="G30" s="159">
        <f t="shared" si="9"/>
        <v>128132.68518700002</v>
      </c>
      <c r="H30" s="159">
        <f t="shared" si="9"/>
        <v>127465.036723</v>
      </c>
      <c r="I30" s="159">
        <f t="shared" si="9"/>
        <v>119607.178702</v>
      </c>
      <c r="J30" s="159">
        <f t="shared" si="9"/>
        <v>121078.40375400001</v>
      </c>
      <c r="K30" s="159">
        <f t="shared" si="9"/>
        <v>122885.34984549998</v>
      </c>
      <c r="L30" s="159">
        <f t="shared" si="9"/>
        <v>119622.36771999998</v>
      </c>
      <c r="M30" s="159">
        <f t="shared" si="9"/>
        <v>122750.07693599997</v>
      </c>
      <c r="N30" s="159">
        <f t="shared" si="9"/>
        <v>122629.08494199999</v>
      </c>
      <c r="O30" s="159">
        <f t="shared" si="9"/>
        <v>119955.43497999999</v>
      </c>
      <c r="P30" s="159">
        <f t="shared" si="9"/>
        <v>130153.541478</v>
      </c>
      <c r="Q30" s="159">
        <f t="shared" si="9"/>
        <v>134060.893115</v>
      </c>
      <c r="R30" s="159">
        <f t="shared" si="9"/>
        <v>134523.34646</v>
      </c>
      <c r="S30" s="159">
        <f t="shared" si="9"/>
        <v>133697.442751</v>
      </c>
      <c r="T30" s="159">
        <f t="shared" si="9"/>
        <v>148579.37157199997</v>
      </c>
      <c r="U30" s="159">
        <f t="shared" si="9"/>
        <v>142768.724946</v>
      </c>
      <c r="V30" s="159">
        <f t="shared" si="9"/>
        <v>152991.64686800004</v>
      </c>
      <c r="W30" s="159">
        <f t="shared" si="9"/>
        <v>154429.16142</v>
      </c>
      <c r="X30" s="159">
        <f t="shared" si="9"/>
        <v>145347.27911000003</v>
      </c>
      <c r="Y30" s="159">
        <f t="shared" si="9"/>
        <v>151117.87556400005</v>
      </c>
      <c r="Z30" s="159">
        <f t="shared" si="9"/>
        <v>144206.648055</v>
      </c>
      <c r="AA30" s="159">
        <f t="shared" si="9"/>
        <v>145696.07006700002</v>
      </c>
      <c r="AB30" s="159">
        <f t="shared" si="9"/>
        <v>156088.132199</v>
      </c>
      <c r="AC30" s="159">
        <f t="shared" si="9"/>
        <v>158939.50743999996</v>
      </c>
      <c r="AD30" s="159">
        <f t="shared" si="9"/>
        <v>162076.138039</v>
      </c>
      <c r="AE30" s="159">
        <f t="shared" si="9"/>
        <v>159318.221228</v>
      </c>
      <c r="AF30" s="159">
        <f t="shared" si="9"/>
        <v>162074.37108000004</v>
      </c>
      <c r="AG30" s="159">
        <f t="shared" si="9"/>
        <v>165130.81526700003</v>
      </c>
      <c r="AH30" s="159">
        <f t="shared" si="9"/>
        <v>175960.436986</v>
      </c>
      <c r="AI30" s="159">
        <f t="shared" si="9"/>
        <v>177619.936834</v>
      </c>
      <c r="AJ30" s="159">
        <f t="shared" si="9"/>
        <v>172828.799357</v>
      </c>
      <c r="AK30" s="159">
        <f t="shared" si="9"/>
        <v>170763.801</v>
      </c>
      <c r="AL30" s="159">
        <f t="shared" si="9"/>
        <v>174643.67381799998</v>
      </c>
      <c r="AM30" s="159">
        <f t="shared" si="9"/>
        <v>171170.10702100006</v>
      </c>
      <c r="AN30" s="159">
        <f t="shared" si="9"/>
        <v>176667.40839999996</v>
      </c>
      <c r="AO30" s="159">
        <f t="shared" si="9"/>
        <v>178188.05566240003</v>
      </c>
      <c r="AP30" s="159">
        <f t="shared" si="9"/>
        <v>177681.48976199998</v>
      </c>
      <c r="AQ30" s="159">
        <f t="shared" si="9"/>
        <v>170192.673492</v>
      </c>
      <c r="AR30" s="159">
        <f t="shared" si="9"/>
        <v>183239.66962499992</v>
      </c>
      <c r="AS30" s="159">
        <f t="shared" si="9"/>
        <v>178285.08564480004</v>
      </c>
      <c r="AT30" s="159">
        <f t="shared" si="9"/>
        <v>180448.37063499997</v>
      </c>
      <c r="AU30" s="159">
        <f t="shared" si="9"/>
        <v>181374.82493399995</v>
      </c>
      <c r="AV30" s="159">
        <f t="shared" si="9"/>
        <v>182376.01177060005</v>
      </c>
      <c r="AW30" s="159">
        <f t="shared" si="9"/>
        <v>182175.63116180003</v>
      </c>
      <c r="AX30" s="159">
        <f t="shared" si="9"/>
        <v>187385.398916</v>
      </c>
      <c r="AY30" s="159">
        <f t="shared" si="9"/>
        <v>189934.96633850006</v>
      </c>
      <c r="AZ30" s="159">
        <f t="shared" si="9"/>
        <v>204848.15287599998</v>
      </c>
      <c r="BA30" s="159">
        <f t="shared" si="9"/>
        <v>202143.96111999993</v>
      </c>
      <c r="BB30" s="159">
        <f t="shared" si="9"/>
        <v>206570.05257300002</v>
      </c>
      <c r="BC30" s="159">
        <f t="shared" si="9"/>
        <v>205334.58907360001</v>
      </c>
      <c r="BD30" s="159">
        <f>BD149</f>
        <v>202605.43124720006</v>
      </c>
      <c r="BE30" s="159">
        <f>BE149</f>
        <v>205915.8875168</v>
      </c>
      <c r="BF30" s="159">
        <f>BF149</f>
        <v>209933.2787336</v>
      </c>
      <c r="BG30" s="159">
        <f>BG149</f>
        <v>216160.73855600005</v>
      </c>
      <c r="BH30" s="85"/>
      <c r="BI30" s="157"/>
      <c r="BN30" s="158" t="s">
        <v>140</v>
      </c>
    </row>
    <row r="31" spans="1:66" ht="36" customHeight="1">
      <c r="A31" s="62" t="s">
        <v>21</v>
      </c>
      <c r="B31" s="10">
        <f aca="true" t="shared" si="10" ref="B31:BC31">B36+B37+B39</f>
        <v>144464.059552</v>
      </c>
      <c r="C31" s="10">
        <f t="shared" si="10"/>
        <v>176920.6099218</v>
      </c>
      <c r="D31" s="1">
        <f t="shared" si="10"/>
        <v>204437.2373015</v>
      </c>
      <c r="E31" s="1">
        <f t="shared" si="10"/>
        <v>223349.8133559</v>
      </c>
      <c r="F31" s="1">
        <f t="shared" si="10"/>
        <v>246055.00204599998</v>
      </c>
      <c r="G31" s="1">
        <f t="shared" si="10"/>
        <v>244236.55633100003</v>
      </c>
      <c r="H31" s="1">
        <f t="shared" si="10"/>
        <v>249640.256662</v>
      </c>
      <c r="I31" s="1">
        <f t="shared" si="10"/>
        <v>240553.763822</v>
      </c>
      <c r="J31" s="1">
        <f t="shared" si="10"/>
        <v>238686.57789000002</v>
      </c>
      <c r="K31" s="1">
        <f t="shared" si="10"/>
        <v>240236.02556049998</v>
      </c>
      <c r="L31" s="1">
        <f t="shared" si="10"/>
        <v>239534.21925</v>
      </c>
      <c r="M31" s="1">
        <f t="shared" si="10"/>
        <v>239332.88955599998</v>
      </c>
      <c r="N31" s="1">
        <f t="shared" si="10"/>
        <v>241762.51947499998</v>
      </c>
      <c r="O31" s="1">
        <f t="shared" si="10"/>
        <v>239036.88397999998</v>
      </c>
      <c r="P31" s="1">
        <f t="shared" si="10"/>
        <v>249284.623016</v>
      </c>
      <c r="Q31" s="1">
        <f t="shared" si="10"/>
        <v>253258.059075</v>
      </c>
      <c r="R31" s="1">
        <f t="shared" si="10"/>
        <v>253353.05</v>
      </c>
      <c r="S31" s="1">
        <f t="shared" si="10"/>
        <v>252491.16277099997</v>
      </c>
      <c r="T31" s="1">
        <f t="shared" si="10"/>
        <v>256389.74135599995</v>
      </c>
      <c r="U31" s="1">
        <f t="shared" si="10"/>
        <v>250546.42359</v>
      </c>
      <c r="V31" s="1">
        <f t="shared" si="10"/>
        <v>260935.84175000002</v>
      </c>
      <c r="W31" s="1">
        <f t="shared" si="10"/>
        <v>262413.79137</v>
      </c>
      <c r="X31" s="1">
        <f t="shared" si="10"/>
        <v>253321.23474</v>
      </c>
      <c r="Y31" s="1">
        <f t="shared" si="10"/>
        <v>259262.64926400004</v>
      </c>
      <c r="Z31" s="1">
        <f t="shared" si="10"/>
        <v>252439.389245</v>
      </c>
      <c r="AA31" s="1">
        <f t="shared" si="10"/>
        <v>253869.58187000002</v>
      </c>
      <c r="AB31" s="1">
        <f t="shared" si="10"/>
        <v>264530.634382</v>
      </c>
      <c r="AC31" s="1">
        <f t="shared" si="10"/>
        <v>267395.26723999996</v>
      </c>
      <c r="AD31" s="1">
        <f t="shared" si="10"/>
        <v>270013.552845</v>
      </c>
      <c r="AE31" s="1">
        <f t="shared" si="10"/>
        <v>267875.735492</v>
      </c>
      <c r="AF31" s="1">
        <f t="shared" si="10"/>
        <v>270618.71708000003</v>
      </c>
      <c r="AG31" s="1">
        <f t="shared" si="10"/>
        <v>273297.548888</v>
      </c>
      <c r="AH31" s="1">
        <f t="shared" si="10"/>
        <v>284341.810533</v>
      </c>
      <c r="AI31" s="1">
        <f t="shared" si="10"/>
        <v>286172.843824</v>
      </c>
      <c r="AJ31" s="1">
        <f t="shared" si="10"/>
        <v>281230.555568</v>
      </c>
      <c r="AK31" s="1">
        <f t="shared" si="10"/>
        <v>279309.667252</v>
      </c>
      <c r="AL31" s="1">
        <f t="shared" si="10"/>
        <v>283171.45699599996</v>
      </c>
      <c r="AM31" s="1">
        <f t="shared" si="10"/>
        <v>279659.44337700005</v>
      </c>
      <c r="AN31" s="1">
        <f t="shared" si="10"/>
        <v>285212.06198999996</v>
      </c>
      <c r="AO31" s="1">
        <f t="shared" si="10"/>
        <v>286804.5632204</v>
      </c>
      <c r="AP31" s="1">
        <f t="shared" si="10"/>
        <v>286399.6</v>
      </c>
      <c r="AQ31" s="1">
        <f t="shared" si="10"/>
        <v>279112.972512</v>
      </c>
      <c r="AR31" s="1">
        <f t="shared" si="10"/>
        <v>292227.0829999999</v>
      </c>
      <c r="AS31" s="1">
        <f t="shared" si="10"/>
        <v>287238.2797088</v>
      </c>
      <c r="AT31" s="1">
        <f t="shared" si="10"/>
        <v>288920.91749699996</v>
      </c>
      <c r="AU31" s="1">
        <f t="shared" si="10"/>
        <v>290494.19851599995</v>
      </c>
      <c r="AV31" s="1">
        <f t="shared" si="10"/>
        <v>291417.15021530003</v>
      </c>
      <c r="AW31" s="1">
        <f t="shared" si="10"/>
        <v>291398.83616410004</v>
      </c>
      <c r="AX31" s="1">
        <f t="shared" si="10"/>
        <v>296402.315544</v>
      </c>
      <c r="AY31" s="1">
        <f t="shared" si="10"/>
        <v>298950.67214320006</v>
      </c>
      <c r="AZ31" s="1">
        <f t="shared" si="10"/>
        <v>313945.0549212</v>
      </c>
      <c r="BA31" s="1">
        <f t="shared" si="10"/>
        <v>311288.3799359999</v>
      </c>
      <c r="BB31" s="1">
        <f t="shared" si="10"/>
        <v>315932.87483600003</v>
      </c>
      <c r="BC31" s="1">
        <f t="shared" si="10"/>
        <v>314324.8069976</v>
      </c>
      <c r="BD31" s="1">
        <f>BD36+BD37+BD39</f>
        <v>311463.40934640006</v>
      </c>
      <c r="BE31" s="1">
        <f>BE36+BE37+BE39</f>
        <v>314907.9531084</v>
      </c>
      <c r="BF31" s="1">
        <f>BF36+BF37+BF39</f>
        <v>319026.8497962</v>
      </c>
      <c r="BG31" s="139">
        <f>BG36+BG37+BG39</f>
        <v>325266.97260180005</v>
      </c>
      <c r="BI31" s="53">
        <f>BI25/BG69</f>
        <v>0.009753693924764042</v>
      </c>
      <c r="BJ31" s="114"/>
      <c r="BM31" s="59">
        <f>BI19+BL18+BK18+BJ18</f>
        <v>967822.4999999999</v>
      </c>
      <c r="BN31" s="29" t="s">
        <v>133</v>
      </c>
    </row>
    <row r="32" spans="1:62" ht="26.25" customHeight="1">
      <c r="A32" s="21" t="s">
        <v>22</v>
      </c>
      <c r="B32" s="6"/>
      <c r="C32" s="6"/>
      <c r="D32" s="2"/>
      <c r="E32" s="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129">
        <f>BB31/BB69</f>
        <v>0.334596606634766</v>
      </c>
      <c r="BC32" s="8"/>
      <c r="BD32" s="8"/>
      <c r="BE32" s="8"/>
      <c r="BF32" s="8"/>
      <c r="BG32" s="136"/>
      <c r="BJ32" s="114"/>
    </row>
    <row r="33" spans="1:62" ht="12.75">
      <c r="A33" s="21" t="s">
        <v>23</v>
      </c>
      <c r="B33" s="8">
        <f aca="true" t="shared" si="11" ref="B33:BF34">B98+B152</f>
        <v>39130.78992</v>
      </c>
      <c r="C33" s="8">
        <f t="shared" si="11"/>
        <v>44281.530944000006</v>
      </c>
      <c r="D33" s="4">
        <f t="shared" si="11"/>
        <v>33783.00688</v>
      </c>
      <c r="E33" s="4">
        <f t="shared" si="11"/>
        <v>14908.38123</v>
      </c>
      <c r="F33" s="8">
        <f t="shared" si="11"/>
        <v>17459.957662000004</v>
      </c>
      <c r="G33" s="8">
        <f t="shared" si="11"/>
        <v>16429.829439999998</v>
      </c>
      <c r="H33" s="8">
        <f t="shared" si="11"/>
        <v>18941.762733</v>
      </c>
      <c r="I33" s="8">
        <f t="shared" si="11"/>
        <v>15821.661306</v>
      </c>
      <c r="J33" s="8">
        <f t="shared" si="11"/>
        <v>17113.903076</v>
      </c>
      <c r="K33" s="8">
        <f t="shared" si="11"/>
        <v>16639.504109999998</v>
      </c>
      <c r="L33" s="8">
        <f t="shared" si="11"/>
        <v>15195.336815</v>
      </c>
      <c r="M33" s="8">
        <f t="shared" si="11"/>
        <v>15348.597929999998</v>
      </c>
      <c r="N33" s="8">
        <f t="shared" si="11"/>
        <v>15970.175143</v>
      </c>
      <c r="O33" s="8">
        <f t="shared" si="11"/>
        <v>15321.153704</v>
      </c>
      <c r="P33" s="8">
        <f t="shared" si="11"/>
        <v>17350.06826</v>
      </c>
      <c r="Q33" s="8">
        <f t="shared" si="11"/>
        <v>17739.2484</v>
      </c>
      <c r="R33" s="8">
        <f t="shared" si="11"/>
        <v>17065.78436</v>
      </c>
      <c r="S33" s="8">
        <f t="shared" si="11"/>
        <v>15400.642143</v>
      </c>
      <c r="T33" s="8">
        <f t="shared" si="11"/>
        <v>17267.75962</v>
      </c>
      <c r="U33" s="8">
        <f t="shared" si="11"/>
        <v>14308.87305</v>
      </c>
      <c r="V33" s="8">
        <f t="shared" si="11"/>
        <v>16248.00351</v>
      </c>
      <c r="W33" s="8">
        <f t="shared" si="11"/>
        <v>16222.242935000002</v>
      </c>
      <c r="X33" s="8">
        <f t="shared" si="11"/>
        <v>15668.520470000001</v>
      </c>
      <c r="Y33" s="8">
        <f t="shared" si="11"/>
        <v>17185.769572</v>
      </c>
      <c r="Z33" s="8">
        <f t="shared" si="11"/>
        <v>17139.054890000003</v>
      </c>
      <c r="AA33" s="8">
        <f t="shared" si="11"/>
        <v>17230.723297</v>
      </c>
      <c r="AB33" s="8">
        <f t="shared" si="11"/>
        <v>17649.045107</v>
      </c>
      <c r="AC33" s="8">
        <f t="shared" si="11"/>
        <v>18116.613586000003</v>
      </c>
      <c r="AD33" s="8">
        <f t="shared" si="11"/>
        <v>19567.944565</v>
      </c>
      <c r="AE33" s="8">
        <f t="shared" si="11"/>
        <v>16296.598394</v>
      </c>
      <c r="AF33" s="8">
        <f t="shared" si="11"/>
        <v>16628.48344</v>
      </c>
      <c r="AG33" s="8">
        <f t="shared" si="11"/>
        <v>16444.585391</v>
      </c>
      <c r="AH33" s="8">
        <f t="shared" si="11"/>
        <v>16651.11202</v>
      </c>
      <c r="AI33" s="8">
        <f t="shared" si="11"/>
        <v>15144.292674</v>
      </c>
      <c r="AJ33" s="8">
        <f t="shared" si="11"/>
        <v>16395.770581</v>
      </c>
      <c r="AK33" s="8">
        <f t="shared" si="11"/>
        <v>18094.770126</v>
      </c>
      <c r="AL33" s="8">
        <f t="shared" si="11"/>
        <v>16590.19692</v>
      </c>
      <c r="AM33" s="8">
        <f t="shared" si="11"/>
        <v>16071.348434000001</v>
      </c>
      <c r="AN33" s="8">
        <f t="shared" si="11"/>
        <v>15983.071935</v>
      </c>
      <c r="AO33" s="8">
        <f t="shared" si="11"/>
        <v>15677.392192</v>
      </c>
      <c r="AP33" s="8">
        <f t="shared" si="11"/>
        <v>15148.788405000001</v>
      </c>
      <c r="AQ33" s="8">
        <f t="shared" si="11"/>
        <v>12412.182876</v>
      </c>
      <c r="AR33" s="8">
        <f t="shared" si="11"/>
        <v>11986.277250000001</v>
      </c>
      <c r="AS33" s="8">
        <f t="shared" si="11"/>
        <v>10884.100223999998</v>
      </c>
      <c r="AT33" s="8">
        <f t="shared" si="11"/>
        <v>10022.016346</v>
      </c>
      <c r="AU33" s="8">
        <f t="shared" si="11"/>
        <v>9617.833014</v>
      </c>
      <c r="AV33" s="8">
        <f t="shared" si="11"/>
        <v>10265.906821</v>
      </c>
      <c r="AW33" s="8">
        <f t="shared" si="11"/>
        <v>8406.761250000001</v>
      </c>
      <c r="AX33" s="8">
        <f t="shared" si="11"/>
        <v>8433.206</v>
      </c>
      <c r="AY33" s="8">
        <f t="shared" si="11"/>
        <v>9018.280865</v>
      </c>
      <c r="AZ33" s="8">
        <f t="shared" si="11"/>
        <v>10388.427555999999</v>
      </c>
      <c r="BA33" s="8">
        <f t="shared" si="11"/>
        <v>11688.79072</v>
      </c>
      <c r="BB33" s="8">
        <f t="shared" si="11"/>
        <v>10827.254924</v>
      </c>
      <c r="BC33" s="8">
        <f t="shared" si="11"/>
        <v>9669.787588</v>
      </c>
      <c r="BD33" s="8">
        <f t="shared" si="11"/>
        <v>9649.21808</v>
      </c>
      <c r="BE33" s="8">
        <f t="shared" si="11"/>
        <v>9547.440584</v>
      </c>
      <c r="BF33" s="8">
        <f t="shared" si="11"/>
        <v>10164.727796</v>
      </c>
      <c r="BG33" s="136">
        <f>BG98+BG152</f>
        <v>10172.786307999999</v>
      </c>
      <c r="BI33" s="11"/>
      <c r="BJ33" s="115"/>
    </row>
    <row r="34" spans="1:61" ht="12.75">
      <c r="A34" s="21" t="s">
        <v>24</v>
      </c>
      <c r="B34" s="8">
        <f t="shared" si="11"/>
        <v>107609.729632</v>
      </c>
      <c r="C34" s="8">
        <f t="shared" si="11"/>
        <v>132638.9061898</v>
      </c>
      <c r="D34" s="4">
        <f t="shared" si="11"/>
        <v>170654.2304215</v>
      </c>
      <c r="E34" s="4">
        <f t="shared" si="11"/>
        <v>208441.4321259</v>
      </c>
      <c r="F34" s="8">
        <f t="shared" si="11"/>
        <v>228595.044384</v>
      </c>
      <c r="G34" s="8">
        <f t="shared" si="11"/>
        <v>227663.23737100002</v>
      </c>
      <c r="H34" s="8">
        <f t="shared" si="11"/>
        <v>230698.493929</v>
      </c>
      <c r="I34" s="8">
        <f t="shared" si="11"/>
        <v>224732.123814</v>
      </c>
      <c r="J34" s="8">
        <f t="shared" si="11"/>
        <v>221572.67481400003</v>
      </c>
      <c r="K34" s="8">
        <f t="shared" si="11"/>
        <v>223596.47705549997</v>
      </c>
      <c r="L34" s="8">
        <f t="shared" si="11"/>
        <v>224338.85471499996</v>
      </c>
      <c r="M34" s="8">
        <f t="shared" si="11"/>
        <v>223984.291626</v>
      </c>
      <c r="N34" s="8">
        <f t="shared" si="11"/>
        <v>225792.344332</v>
      </c>
      <c r="O34" s="8">
        <f t="shared" si="11"/>
        <v>223715.675296</v>
      </c>
      <c r="P34" s="8">
        <f t="shared" si="11"/>
        <v>231934.554756</v>
      </c>
      <c r="Q34" s="8">
        <f t="shared" si="11"/>
        <v>235518.81067499996</v>
      </c>
      <c r="R34" s="8">
        <f t="shared" si="11"/>
        <v>236287.29917999997</v>
      </c>
      <c r="S34" s="8">
        <f t="shared" si="11"/>
        <v>237090.52062800003</v>
      </c>
      <c r="T34" s="8">
        <f t="shared" si="11"/>
        <v>239121.937044</v>
      </c>
      <c r="U34" s="8">
        <f t="shared" si="11"/>
        <v>236237.55053999997</v>
      </c>
      <c r="V34" s="8">
        <f t="shared" si="11"/>
        <v>244687.83823999995</v>
      </c>
      <c r="W34" s="8">
        <f t="shared" si="11"/>
        <v>246191.548435</v>
      </c>
      <c r="X34" s="8">
        <f t="shared" si="11"/>
        <v>237652.57864</v>
      </c>
      <c r="Y34" s="8">
        <f t="shared" si="11"/>
        <v>242076.83503800002</v>
      </c>
      <c r="Z34" s="8">
        <f t="shared" si="11"/>
        <v>235300.28981999998</v>
      </c>
      <c r="AA34" s="8">
        <f t="shared" si="11"/>
        <v>236638.87034000002</v>
      </c>
      <c r="AB34" s="8">
        <f t="shared" si="11"/>
        <v>246887.44668499997</v>
      </c>
      <c r="AC34" s="8">
        <f t="shared" si="11"/>
        <v>249278.65365400002</v>
      </c>
      <c r="AD34" s="8">
        <f t="shared" si="11"/>
        <v>250445.67024099999</v>
      </c>
      <c r="AE34" s="8">
        <f t="shared" si="11"/>
        <v>251579.137098</v>
      </c>
      <c r="AF34" s="8">
        <f t="shared" si="11"/>
        <v>253990.18848000004</v>
      </c>
      <c r="AG34" s="8">
        <f t="shared" si="11"/>
        <v>256852.94822999998</v>
      </c>
      <c r="AH34" s="8">
        <f t="shared" si="11"/>
        <v>267690.69851300004</v>
      </c>
      <c r="AI34" s="8">
        <f t="shared" si="11"/>
        <v>271028.55114999996</v>
      </c>
      <c r="AJ34" s="8">
        <f t="shared" si="11"/>
        <v>264834.78563</v>
      </c>
      <c r="AK34" s="8">
        <f t="shared" si="11"/>
        <v>261214.76033200003</v>
      </c>
      <c r="AL34" s="8">
        <f t="shared" si="11"/>
        <v>266581.260076</v>
      </c>
      <c r="AM34" s="8">
        <f t="shared" si="11"/>
        <v>263588.09494300006</v>
      </c>
      <c r="AN34" s="8">
        <f t="shared" si="11"/>
        <v>269228.990055</v>
      </c>
      <c r="AO34" s="8">
        <f t="shared" si="11"/>
        <v>271127.1710284</v>
      </c>
      <c r="AP34" s="8">
        <f t="shared" si="11"/>
        <v>271250.92183300003</v>
      </c>
      <c r="AQ34" s="8">
        <f t="shared" si="11"/>
        <v>266700.743054</v>
      </c>
      <c r="AR34" s="8">
        <f t="shared" si="11"/>
        <v>280240.85237499996</v>
      </c>
      <c r="AS34" s="8">
        <f t="shared" si="11"/>
        <v>276354.17948479997</v>
      </c>
      <c r="AT34" s="8">
        <f t="shared" si="11"/>
        <v>278898.901151</v>
      </c>
      <c r="AU34" s="8">
        <f t="shared" si="11"/>
        <v>280876.365502</v>
      </c>
      <c r="AV34" s="8">
        <f t="shared" si="11"/>
        <v>281151.3316237</v>
      </c>
      <c r="AW34" s="8">
        <f t="shared" si="11"/>
        <v>282992.0749141</v>
      </c>
      <c r="AX34" s="8">
        <f t="shared" si="11"/>
        <v>287969.109544</v>
      </c>
      <c r="AY34" s="8">
        <f t="shared" si="11"/>
        <v>289932.3912782</v>
      </c>
      <c r="AZ34" s="8">
        <f t="shared" si="11"/>
        <v>303556.6273652001</v>
      </c>
      <c r="BA34" s="8">
        <f t="shared" si="11"/>
        <v>299599.58921599993</v>
      </c>
      <c r="BB34" s="8">
        <f t="shared" si="11"/>
        <v>305105.585167</v>
      </c>
      <c r="BC34" s="8">
        <f t="shared" si="11"/>
        <v>304655.01940959995</v>
      </c>
      <c r="BD34" s="8">
        <f t="shared" si="11"/>
        <v>301814.1912664</v>
      </c>
      <c r="BE34" s="8">
        <f t="shared" si="11"/>
        <v>305360.5125244</v>
      </c>
      <c r="BF34" s="8">
        <f t="shared" si="11"/>
        <v>308862.1220002</v>
      </c>
      <c r="BG34" s="136">
        <f>BG99+BG153</f>
        <v>315094.1862938</v>
      </c>
      <c r="BI34" s="11"/>
    </row>
    <row r="35" spans="1:61" ht="12.75">
      <c r="A35" s="21" t="s">
        <v>25</v>
      </c>
      <c r="B35" s="8"/>
      <c r="C35" s="8"/>
      <c r="D35" s="4"/>
      <c r="E35" s="4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136"/>
      <c r="BI35" s="11"/>
    </row>
    <row r="36" spans="1:61" ht="12.75">
      <c r="A36" s="21" t="s">
        <v>26</v>
      </c>
      <c r="B36" s="8">
        <f aca="true" t="shared" si="12" ref="B36:BC36">B101</f>
        <v>4677.09</v>
      </c>
      <c r="C36" s="8">
        <f t="shared" si="12"/>
        <v>6397.57</v>
      </c>
      <c r="D36" s="4">
        <f t="shared" si="12"/>
        <v>4987.21</v>
      </c>
      <c r="E36" s="4">
        <f t="shared" si="12"/>
        <v>4222.3</v>
      </c>
      <c r="F36" s="8">
        <f t="shared" si="12"/>
        <v>6754.68</v>
      </c>
      <c r="G36" s="8">
        <f t="shared" si="12"/>
        <v>5112.03</v>
      </c>
      <c r="H36" s="8">
        <f t="shared" si="12"/>
        <v>6445.56</v>
      </c>
      <c r="I36" s="8">
        <f t="shared" si="12"/>
        <v>4098.3</v>
      </c>
      <c r="J36" s="8">
        <f t="shared" si="12"/>
        <v>4046.5</v>
      </c>
      <c r="K36" s="8">
        <f t="shared" si="12"/>
        <v>4402.4</v>
      </c>
      <c r="L36" s="8">
        <f t="shared" si="12"/>
        <v>5104.59</v>
      </c>
      <c r="M36" s="8">
        <f t="shared" si="12"/>
        <v>5066.69</v>
      </c>
      <c r="N36" s="8">
        <f t="shared" si="12"/>
        <v>5816.11</v>
      </c>
      <c r="O36" s="8">
        <f t="shared" si="12"/>
        <v>6324.2</v>
      </c>
      <c r="P36" s="8">
        <f t="shared" si="12"/>
        <v>6187.62</v>
      </c>
      <c r="Q36" s="8">
        <f t="shared" si="12"/>
        <v>7210.92</v>
      </c>
      <c r="R36" s="8">
        <f t="shared" si="12"/>
        <v>8752.65</v>
      </c>
      <c r="S36" s="8">
        <f t="shared" si="12"/>
        <v>4372.6</v>
      </c>
      <c r="T36" s="8">
        <f t="shared" si="12"/>
        <v>5521.1</v>
      </c>
      <c r="U36" s="8">
        <f t="shared" si="12"/>
        <v>4757</v>
      </c>
      <c r="V36" s="8">
        <f t="shared" si="12"/>
        <v>5041.7</v>
      </c>
      <c r="W36" s="8">
        <f t="shared" si="12"/>
        <v>5135.7</v>
      </c>
      <c r="X36" s="8">
        <f t="shared" si="12"/>
        <v>4941.7</v>
      </c>
      <c r="Y36" s="8">
        <f t="shared" si="12"/>
        <v>5303.6</v>
      </c>
      <c r="Z36" s="8">
        <f t="shared" si="12"/>
        <v>5096.5</v>
      </c>
      <c r="AA36" s="8">
        <f t="shared" si="12"/>
        <v>5643.1</v>
      </c>
      <c r="AB36" s="8">
        <f t="shared" si="12"/>
        <v>5985.2</v>
      </c>
      <c r="AC36" s="8">
        <f t="shared" si="12"/>
        <v>6648.3</v>
      </c>
      <c r="AD36" s="8">
        <f t="shared" si="12"/>
        <v>8408.5</v>
      </c>
      <c r="AE36" s="8">
        <f t="shared" si="12"/>
        <v>5347.6</v>
      </c>
      <c r="AF36" s="8">
        <f t="shared" si="12"/>
        <v>4856.1</v>
      </c>
      <c r="AG36" s="8">
        <f t="shared" si="12"/>
        <v>5046.6</v>
      </c>
      <c r="AH36" s="8">
        <f t="shared" si="12"/>
        <v>5592.3</v>
      </c>
      <c r="AI36" s="8">
        <f t="shared" si="12"/>
        <v>5395.2</v>
      </c>
      <c r="AJ36" s="8">
        <f t="shared" si="12"/>
        <v>6030.7</v>
      </c>
      <c r="AK36" s="8">
        <f t="shared" si="12"/>
        <v>6250.1</v>
      </c>
      <c r="AL36" s="8">
        <f t="shared" si="12"/>
        <v>5955.6</v>
      </c>
      <c r="AM36" s="8">
        <f t="shared" si="12"/>
        <v>6225.2</v>
      </c>
      <c r="AN36" s="8">
        <f t="shared" si="12"/>
        <v>6913.8</v>
      </c>
      <c r="AO36" s="8">
        <f t="shared" si="12"/>
        <v>7325.2</v>
      </c>
      <c r="AP36" s="8">
        <f t="shared" si="12"/>
        <v>7411.1</v>
      </c>
      <c r="AQ36" s="8">
        <f t="shared" si="12"/>
        <v>5029.6</v>
      </c>
      <c r="AR36" s="8">
        <f t="shared" si="12"/>
        <v>5557</v>
      </c>
      <c r="AS36" s="8">
        <f t="shared" si="12"/>
        <v>5067</v>
      </c>
      <c r="AT36" s="8">
        <f t="shared" si="12"/>
        <v>5184.9</v>
      </c>
      <c r="AU36" s="8">
        <f t="shared" si="12"/>
        <v>5491.9</v>
      </c>
      <c r="AV36" s="8">
        <f t="shared" si="12"/>
        <v>6806.6</v>
      </c>
      <c r="AW36" s="8">
        <f t="shared" si="12"/>
        <v>5966.3</v>
      </c>
      <c r="AX36" s="8">
        <f t="shared" si="12"/>
        <v>6333.8</v>
      </c>
      <c r="AY36" s="8">
        <f t="shared" si="12"/>
        <v>6593.1</v>
      </c>
      <c r="AZ36" s="8">
        <f t="shared" si="12"/>
        <v>7551.1</v>
      </c>
      <c r="BA36" s="8">
        <f t="shared" si="12"/>
        <v>8202.6</v>
      </c>
      <c r="BB36" s="8">
        <f t="shared" si="12"/>
        <v>6953.2</v>
      </c>
      <c r="BC36" s="8">
        <f t="shared" si="12"/>
        <v>5727.3</v>
      </c>
      <c r="BD36" s="8">
        <f>BD101</f>
        <v>6199.9</v>
      </c>
      <c r="BE36" s="8">
        <f>BE101</f>
        <v>6384.5</v>
      </c>
      <c r="BF36" s="8">
        <f>BF101</f>
        <v>6871.7</v>
      </c>
      <c r="BG36" s="136">
        <f>BG101</f>
        <v>6852.8</v>
      </c>
      <c r="BI36" s="11"/>
    </row>
    <row r="37" spans="1:61" ht="12.75">
      <c r="A37" s="21" t="s">
        <v>27</v>
      </c>
      <c r="B37" s="8">
        <f aca="true" t="shared" si="13" ref="B37:BG40">B102+B155</f>
        <v>79283.71824</v>
      </c>
      <c r="C37" s="8">
        <f t="shared" si="13"/>
        <v>103359.57677799999</v>
      </c>
      <c r="D37" s="4">
        <f t="shared" si="13"/>
        <v>132523.02686</v>
      </c>
      <c r="E37" s="4">
        <f t="shared" si="13"/>
        <v>152787.86385</v>
      </c>
      <c r="F37" s="8">
        <f t="shared" si="13"/>
        <v>178035.20051</v>
      </c>
      <c r="G37" s="8">
        <f t="shared" si="13"/>
        <v>184726.330656</v>
      </c>
      <c r="H37" s="8">
        <f t="shared" si="13"/>
        <v>189612.317023</v>
      </c>
      <c r="I37" s="8">
        <f t="shared" si="13"/>
        <v>183471.45</v>
      </c>
      <c r="J37" s="8">
        <f t="shared" si="13"/>
        <v>181763.419472</v>
      </c>
      <c r="K37" s="8">
        <f t="shared" si="13"/>
        <v>182833.55163499998</v>
      </c>
      <c r="L37" s="8">
        <f t="shared" si="13"/>
        <v>178478.05</v>
      </c>
      <c r="M37" s="8">
        <f t="shared" si="13"/>
        <v>178694.79700999998</v>
      </c>
      <c r="N37" s="8">
        <f t="shared" si="13"/>
        <v>180667.513453</v>
      </c>
      <c r="O37" s="8">
        <f t="shared" si="13"/>
        <v>177986.3</v>
      </c>
      <c r="P37" s="8">
        <f t="shared" si="13"/>
        <v>188026.767148</v>
      </c>
      <c r="Q37" s="8">
        <f t="shared" si="13"/>
        <v>191306.12498</v>
      </c>
      <c r="R37" s="8">
        <f t="shared" si="13"/>
        <v>188621.3</v>
      </c>
      <c r="S37" s="8">
        <f t="shared" si="13"/>
        <v>190901.78811099997</v>
      </c>
      <c r="T37" s="8">
        <f t="shared" si="13"/>
        <v>194270.91343199997</v>
      </c>
      <c r="U37" s="8">
        <f t="shared" si="13"/>
        <v>191045.03949</v>
      </c>
      <c r="V37" s="8">
        <f t="shared" si="13"/>
        <v>199964.558522</v>
      </c>
      <c r="W37" s="8">
        <f t="shared" si="13"/>
        <v>201176.99920999998</v>
      </c>
      <c r="X37" s="8">
        <f t="shared" si="13"/>
        <v>193668.14034</v>
      </c>
      <c r="Y37" s="8">
        <f t="shared" si="13"/>
        <v>199199.26132400002</v>
      </c>
      <c r="Z37" s="8">
        <f t="shared" si="13"/>
        <v>193022.788345</v>
      </c>
      <c r="AA37" s="8">
        <f t="shared" si="13"/>
        <v>195161.90000000002</v>
      </c>
      <c r="AB37" s="8">
        <f t="shared" si="13"/>
        <v>204066.78324299998</v>
      </c>
      <c r="AC37" s="8">
        <f t="shared" si="13"/>
        <v>206597.18423999997</v>
      </c>
      <c r="AD37" s="8">
        <f t="shared" si="13"/>
        <v>208637.9</v>
      </c>
      <c r="AE37" s="8">
        <f t="shared" si="13"/>
        <v>209375.56268600002</v>
      </c>
      <c r="AF37" s="8">
        <f t="shared" si="13"/>
        <v>212336.79100000003</v>
      </c>
      <c r="AG37" s="8">
        <f t="shared" si="13"/>
        <v>215557</v>
      </c>
      <c r="AH37" s="8">
        <f t="shared" si="13"/>
        <v>225621.081524</v>
      </c>
      <c r="AI37" s="8">
        <f t="shared" si="13"/>
        <v>227795.738572</v>
      </c>
      <c r="AJ37" s="8">
        <f t="shared" si="13"/>
        <v>224331.09999999998</v>
      </c>
      <c r="AK37" s="8">
        <f t="shared" si="13"/>
        <v>221361.873848</v>
      </c>
      <c r="AL37" s="8">
        <f t="shared" si="13"/>
        <v>223308.00707599998</v>
      </c>
      <c r="AM37" s="8">
        <f t="shared" si="13"/>
        <v>225594.44978300005</v>
      </c>
      <c r="AN37" s="8">
        <f t="shared" si="13"/>
        <v>229840.53698499998</v>
      </c>
      <c r="AO37" s="8">
        <f t="shared" si="13"/>
        <v>230801.36812199999</v>
      </c>
      <c r="AP37" s="8">
        <f t="shared" si="13"/>
        <v>231486</v>
      </c>
      <c r="AQ37" s="8">
        <f t="shared" si="13"/>
        <v>225992.900212</v>
      </c>
      <c r="AR37" s="8">
        <f t="shared" si="13"/>
        <v>238664.23762499998</v>
      </c>
      <c r="AS37" s="8">
        <f t="shared" si="13"/>
        <v>240597.60208</v>
      </c>
      <c r="AT37" s="8">
        <f t="shared" si="13"/>
        <v>242586.498486</v>
      </c>
      <c r="AU37" s="8">
        <f t="shared" si="13"/>
        <v>244013.237385</v>
      </c>
      <c r="AV37" s="8">
        <f t="shared" si="13"/>
        <v>243486.7922876</v>
      </c>
      <c r="AW37" s="8">
        <f t="shared" si="13"/>
        <v>245037.41470800003</v>
      </c>
      <c r="AX37" s="8">
        <f t="shared" si="13"/>
        <v>249563.26684</v>
      </c>
      <c r="AY37" s="8">
        <f t="shared" si="13"/>
        <v>252701.68504400004</v>
      </c>
      <c r="AZ37" s="8">
        <f t="shared" si="13"/>
        <v>266980.74304</v>
      </c>
      <c r="BA37" s="8">
        <f t="shared" si="13"/>
        <v>263933.03792</v>
      </c>
      <c r="BB37" s="8">
        <f t="shared" si="13"/>
        <v>267603.5</v>
      </c>
      <c r="BC37" s="8">
        <f t="shared" si="13"/>
        <v>268736.7824</v>
      </c>
      <c r="BD37" s="8">
        <f t="shared" si="13"/>
        <v>265595.34548</v>
      </c>
      <c r="BE37" s="8">
        <f t="shared" si="13"/>
        <v>265527.389316</v>
      </c>
      <c r="BF37" s="8">
        <f t="shared" si="13"/>
        <v>277464.324914</v>
      </c>
      <c r="BG37" s="136">
        <f t="shared" si="13"/>
        <v>280381.61809500004</v>
      </c>
      <c r="BI37" s="11"/>
    </row>
    <row r="38" spans="1:59" ht="15.75" customHeight="1">
      <c r="A38" s="60" t="s">
        <v>11</v>
      </c>
      <c r="B38" s="8">
        <f t="shared" si="13"/>
        <v>34096.79992</v>
      </c>
      <c r="C38" s="8">
        <f t="shared" si="13"/>
        <v>35335.560944</v>
      </c>
      <c r="D38" s="4">
        <f t="shared" si="13"/>
        <v>28425.89688</v>
      </c>
      <c r="E38" s="4">
        <f t="shared" si="13"/>
        <v>10304.58123</v>
      </c>
      <c r="F38" s="8">
        <f t="shared" si="13"/>
        <v>10381.577662</v>
      </c>
      <c r="G38" s="8">
        <f t="shared" si="13"/>
        <v>11002.99944</v>
      </c>
      <c r="H38" s="8">
        <f t="shared" si="13"/>
        <v>12170.702733</v>
      </c>
      <c r="I38" s="8">
        <f t="shared" si="13"/>
        <v>11310.061306</v>
      </c>
      <c r="J38" s="8">
        <f t="shared" si="13"/>
        <v>12651.803076</v>
      </c>
      <c r="K38" s="8">
        <f t="shared" si="13"/>
        <v>11778.704109999999</v>
      </c>
      <c r="L38" s="8">
        <f t="shared" si="13"/>
        <v>9623.126815</v>
      </c>
      <c r="M38" s="8">
        <f t="shared" si="13"/>
        <v>9844.00793</v>
      </c>
      <c r="N38" s="8">
        <f t="shared" si="13"/>
        <v>9837.065143</v>
      </c>
      <c r="O38" s="8">
        <f t="shared" si="13"/>
        <v>8548.713704</v>
      </c>
      <c r="P38" s="8">
        <f t="shared" si="13"/>
        <v>10736.04826</v>
      </c>
      <c r="Q38" s="8">
        <f t="shared" si="13"/>
        <v>10327.028400000001</v>
      </c>
      <c r="R38" s="8">
        <f t="shared" si="13"/>
        <v>8191.83436</v>
      </c>
      <c r="S38" s="8">
        <f t="shared" si="13"/>
        <v>10814.742143</v>
      </c>
      <c r="T38" s="8">
        <f t="shared" si="13"/>
        <v>11408.05962</v>
      </c>
      <c r="U38" s="8">
        <f t="shared" si="13"/>
        <v>9169.27305</v>
      </c>
      <c r="V38" s="8">
        <f t="shared" si="13"/>
        <v>10889.10351</v>
      </c>
      <c r="W38" s="8">
        <f t="shared" si="13"/>
        <v>10747.042935000001</v>
      </c>
      <c r="X38" s="8">
        <f t="shared" si="13"/>
        <v>10378.920470000001</v>
      </c>
      <c r="Y38" s="8">
        <f t="shared" si="13"/>
        <v>11548.769572</v>
      </c>
      <c r="Z38" s="8">
        <f t="shared" si="13"/>
        <v>11714.95489</v>
      </c>
      <c r="AA38" s="8">
        <f t="shared" si="13"/>
        <v>11244.623297</v>
      </c>
      <c r="AB38" s="8">
        <f t="shared" si="13"/>
        <v>11330.145106999998</v>
      </c>
      <c r="AC38" s="8">
        <f t="shared" si="13"/>
        <v>11186.713586000002</v>
      </c>
      <c r="AD38" s="8">
        <f t="shared" si="13"/>
        <v>10975.144565</v>
      </c>
      <c r="AE38" s="8">
        <f t="shared" si="13"/>
        <v>10663.698394</v>
      </c>
      <c r="AF38" s="8">
        <f t="shared" si="13"/>
        <v>11411.38344</v>
      </c>
      <c r="AG38" s="8">
        <f t="shared" si="13"/>
        <v>10975.185390999999</v>
      </c>
      <c r="AH38" s="8">
        <f t="shared" si="13"/>
        <v>10668.312020000001</v>
      </c>
      <c r="AI38" s="8">
        <f t="shared" si="13"/>
        <v>9578.392674</v>
      </c>
      <c r="AJ38" s="8">
        <f t="shared" si="13"/>
        <v>10107.370581</v>
      </c>
      <c r="AK38" s="8">
        <f t="shared" si="13"/>
        <v>11453.670125999999</v>
      </c>
      <c r="AL38" s="8">
        <f t="shared" si="13"/>
        <v>10299.79692</v>
      </c>
      <c r="AM38" s="8">
        <f t="shared" si="13"/>
        <v>9409.648434</v>
      </c>
      <c r="AN38" s="8">
        <f t="shared" si="13"/>
        <v>8730.071935</v>
      </c>
      <c r="AO38" s="8">
        <f t="shared" si="13"/>
        <v>8033.392191999999</v>
      </c>
      <c r="AP38" s="8">
        <f t="shared" si="13"/>
        <v>7231.188405</v>
      </c>
      <c r="AQ38" s="8">
        <f t="shared" si="13"/>
        <v>6938.982876</v>
      </c>
      <c r="AR38" s="8">
        <f t="shared" si="13"/>
        <v>6035.97725</v>
      </c>
      <c r="AS38" s="8">
        <f t="shared" si="13"/>
        <v>5307.700224</v>
      </c>
      <c r="AT38" s="8">
        <f t="shared" si="13"/>
        <v>4466.716346</v>
      </c>
      <c r="AU38" s="8">
        <f t="shared" si="13"/>
        <v>3717.033014</v>
      </c>
      <c r="AV38" s="8">
        <f t="shared" si="13"/>
        <v>2961.106821</v>
      </c>
      <c r="AW38" s="8">
        <f t="shared" si="13"/>
        <v>2032.86125</v>
      </c>
      <c r="AX38" s="8">
        <f t="shared" si="13"/>
        <v>1594.306</v>
      </c>
      <c r="AY38" s="8">
        <f t="shared" si="13"/>
        <v>1921.980865</v>
      </c>
      <c r="AZ38" s="8">
        <f t="shared" si="13"/>
        <v>2430.127556</v>
      </c>
      <c r="BA38" s="8">
        <f t="shared" si="13"/>
        <v>3034.89072</v>
      </c>
      <c r="BB38" s="8">
        <f t="shared" si="13"/>
        <v>3482.954924</v>
      </c>
      <c r="BC38" s="8">
        <f t="shared" si="13"/>
        <v>3482.987588</v>
      </c>
      <c r="BD38" s="8">
        <f t="shared" si="13"/>
        <v>2994.81808</v>
      </c>
      <c r="BE38" s="8">
        <f t="shared" si="13"/>
        <v>2611.340584</v>
      </c>
      <c r="BF38" s="8">
        <f t="shared" si="13"/>
        <v>2842.5277960000003</v>
      </c>
      <c r="BG38" s="136">
        <f t="shared" si="13"/>
        <v>2713.586308</v>
      </c>
    </row>
    <row r="39" spans="1:59" ht="12.75">
      <c r="A39" s="21" t="s">
        <v>28</v>
      </c>
      <c r="B39" s="8">
        <f t="shared" si="13"/>
        <v>60503.251312</v>
      </c>
      <c r="C39" s="8">
        <f t="shared" si="13"/>
        <v>67163.4631438</v>
      </c>
      <c r="D39" s="4">
        <f t="shared" si="13"/>
        <v>66927.0004415</v>
      </c>
      <c r="E39" s="4">
        <f t="shared" si="13"/>
        <v>66339.64950590002</v>
      </c>
      <c r="F39" s="8">
        <f t="shared" si="13"/>
        <v>61265.121536000006</v>
      </c>
      <c r="G39" s="8">
        <f t="shared" si="13"/>
        <v>54398.19567500002</v>
      </c>
      <c r="H39" s="8">
        <f t="shared" si="13"/>
        <v>53582.379639</v>
      </c>
      <c r="I39" s="8">
        <f t="shared" si="13"/>
        <v>52984.01382199999</v>
      </c>
      <c r="J39" s="8">
        <f t="shared" si="13"/>
        <v>52876.658418</v>
      </c>
      <c r="K39" s="8">
        <f t="shared" si="13"/>
        <v>53000.0739255</v>
      </c>
      <c r="L39" s="8">
        <f t="shared" si="13"/>
        <v>55951.57925</v>
      </c>
      <c r="M39" s="8">
        <f t="shared" si="13"/>
        <v>55571.402546</v>
      </c>
      <c r="N39" s="8">
        <f t="shared" si="13"/>
        <v>55278.896022000015</v>
      </c>
      <c r="O39" s="8">
        <f t="shared" si="13"/>
        <v>54726.38398</v>
      </c>
      <c r="P39" s="8">
        <f t="shared" si="13"/>
        <v>55070.235867999996</v>
      </c>
      <c r="Q39" s="8">
        <f t="shared" si="13"/>
        <v>54741.01409499999</v>
      </c>
      <c r="R39" s="8">
        <f t="shared" si="13"/>
        <v>55979.1</v>
      </c>
      <c r="S39" s="8">
        <f t="shared" si="13"/>
        <v>57216.77465999999</v>
      </c>
      <c r="T39" s="8">
        <f t="shared" si="13"/>
        <v>56597.72792399997</v>
      </c>
      <c r="U39" s="8">
        <f t="shared" si="13"/>
        <v>54744.384099999996</v>
      </c>
      <c r="V39" s="8">
        <f t="shared" si="13"/>
        <v>55929.583227999996</v>
      </c>
      <c r="W39" s="8">
        <f t="shared" si="13"/>
        <v>56101.09215999999</v>
      </c>
      <c r="X39" s="8">
        <f t="shared" si="13"/>
        <v>54711.3944</v>
      </c>
      <c r="Y39" s="8">
        <f t="shared" si="13"/>
        <v>54759.78794</v>
      </c>
      <c r="Z39" s="8">
        <f t="shared" si="13"/>
        <v>54320.10089999999</v>
      </c>
      <c r="AA39" s="8">
        <f t="shared" si="13"/>
        <v>53064.58187</v>
      </c>
      <c r="AB39" s="8">
        <f t="shared" si="13"/>
        <v>54478.651139</v>
      </c>
      <c r="AC39" s="8">
        <f t="shared" si="13"/>
        <v>54149.78300000001</v>
      </c>
      <c r="AD39" s="8">
        <f t="shared" si="13"/>
        <v>52967.152845</v>
      </c>
      <c r="AE39" s="8">
        <f t="shared" si="13"/>
        <v>53152.572806000004</v>
      </c>
      <c r="AF39" s="8">
        <f t="shared" si="13"/>
        <v>53425.82608000002</v>
      </c>
      <c r="AG39" s="8">
        <f t="shared" si="13"/>
        <v>52693.948888</v>
      </c>
      <c r="AH39" s="8">
        <f t="shared" si="13"/>
        <v>53128.429009</v>
      </c>
      <c r="AI39" s="8">
        <f t="shared" si="13"/>
        <v>52981.90525199999</v>
      </c>
      <c r="AJ39" s="8">
        <f t="shared" si="13"/>
        <v>50868.755568</v>
      </c>
      <c r="AK39" s="8">
        <f t="shared" si="13"/>
        <v>51697.69340400001</v>
      </c>
      <c r="AL39" s="8">
        <f t="shared" si="13"/>
        <v>53907.84992</v>
      </c>
      <c r="AM39" s="8">
        <f t="shared" si="13"/>
        <v>47839.793594</v>
      </c>
      <c r="AN39" s="8">
        <f t="shared" si="13"/>
        <v>48457.725005</v>
      </c>
      <c r="AO39" s="8">
        <f t="shared" si="13"/>
        <v>48677.99509840001</v>
      </c>
      <c r="AP39" s="8">
        <f t="shared" si="13"/>
        <v>47502.5</v>
      </c>
      <c r="AQ39" s="8">
        <f t="shared" si="13"/>
        <v>48090.472299999994</v>
      </c>
      <c r="AR39" s="8">
        <f t="shared" si="13"/>
        <v>48005.84537499997</v>
      </c>
      <c r="AS39" s="8">
        <f t="shared" si="13"/>
        <v>41573.6776288</v>
      </c>
      <c r="AT39" s="8">
        <f t="shared" si="13"/>
        <v>41149.519011</v>
      </c>
      <c r="AU39" s="8">
        <f t="shared" si="13"/>
        <v>40989.061130999995</v>
      </c>
      <c r="AV39" s="8">
        <f t="shared" si="13"/>
        <v>41123.757927700004</v>
      </c>
      <c r="AW39" s="8">
        <f t="shared" si="13"/>
        <v>40395.12145610001</v>
      </c>
      <c r="AX39" s="8">
        <f t="shared" si="13"/>
        <v>40505.248704</v>
      </c>
      <c r="AY39" s="8">
        <f t="shared" si="13"/>
        <v>39655.8870992</v>
      </c>
      <c r="AZ39" s="8">
        <f t="shared" si="13"/>
        <v>39413.211881200004</v>
      </c>
      <c r="BA39" s="8">
        <f t="shared" si="13"/>
        <v>39152.74201599998</v>
      </c>
      <c r="BB39" s="8">
        <f t="shared" si="13"/>
        <v>41376.17483600001</v>
      </c>
      <c r="BC39" s="8">
        <f t="shared" si="13"/>
        <v>39860.7245976</v>
      </c>
      <c r="BD39" s="8">
        <f t="shared" si="13"/>
        <v>39668.16386640002</v>
      </c>
      <c r="BE39" s="8">
        <f t="shared" si="13"/>
        <v>42996.0637924</v>
      </c>
      <c r="BF39" s="8">
        <f t="shared" si="13"/>
        <v>34690.82488219999</v>
      </c>
      <c r="BG39" s="136">
        <f t="shared" si="13"/>
        <v>38032.5545068</v>
      </c>
    </row>
    <row r="40" spans="1:59" ht="12.75">
      <c r="A40" s="60" t="s">
        <v>11</v>
      </c>
      <c r="B40" s="8">
        <f t="shared" si="13"/>
        <v>356.9</v>
      </c>
      <c r="C40" s="8">
        <f t="shared" si="13"/>
        <v>2548.4</v>
      </c>
      <c r="D40" s="4">
        <f t="shared" si="13"/>
        <v>369.9</v>
      </c>
      <c r="E40" s="4">
        <f t="shared" si="13"/>
        <v>381.5</v>
      </c>
      <c r="F40" s="7">
        <f t="shared" si="13"/>
        <v>323.7</v>
      </c>
      <c r="G40" s="7">
        <f t="shared" si="13"/>
        <v>314.8</v>
      </c>
      <c r="H40" s="7">
        <f t="shared" si="13"/>
        <v>325.5</v>
      </c>
      <c r="I40" s="7">
        <f t="shared" si="13"/>
        <v>413.3</v>
      </c>
      <c r="J40" s="7">
        <f t="shared" si="13"/>
        <v>415.6</v>
      </c>
      <c r="K40" s="7">
        <f t="shared" si="13"/>
        <v>458.4</v>
      </c>
      <c r="L40" s="7">
        <f t="shared" si="13"/>
        <v>467.62</v>
      </c>
      <c r="M40" s="7">
        <f t="shared" si="13"/>
        <v>437.9</v>
      </c>
      <c r="N40" s="7">
        <f t="shared" si="13"/>
        <v>317</v>
      </c>
      <c r="O40" s="7">
        <f t="shared" si="13"/>
        <v>448.24</v>
      </c>
      <c r="P40" s="7">
        <f t="shared" si="13"/>
        <v>426.4</v>
      </c>
      <c r="Q40" s="7">
        <f t="shared" si="13"/>
        <v>201.3</v>
      </c>
      <c r="R40" s="7">
        <f t="shared" si="13"/>
        <v>121.3</v>
      </c>
      <c r="S40" s="7">
        <f t="shared" si="13"/>
        <v>213.3</v>
      </c>
      <c r="T40" s="7">
        <f t="shared" si="13"/>
        <v>338.6</v>
      </c>
      <c r="U40" s="7">
        <f t="shared" si="13"/>
        <v>382.6</v>
      </c>
      <c r="V40" s="7">
        <f t="shared" si="13"/>
        <v>317.2</v>
      </c>
      <c r="W40" s="7">
        <f t="shared" si="13"/>
        <v>339.5</v>
      </c>
      <c r="X40" s="7">
        <f t="shared" si="13"/>
        <v>347.9</v>
      </c>
      <c r="Y40" s="7">
        <f t="shared" si="13"/>
        <v>333.4</v>
      </c>
      <c r="Z40" s="7">
        <f t="shared" si="13"/>
        <v>327.6</v>
      </c>
      <c r="AA40" s="7">
        <f t="shared" si="13"/>
        <v>343</v>
      </c>
      <c r="AB40" s="7">
        <f t="shared" si="13"/>
        <v>333.7</v>
      </c>
      <c r="AC40" s="7">
        <f t="shared" si="13"/>
        <v>281.6</v>
      </c>
      <c r="AD40" s="7">
        <f t="shared" si="13"/>
        <v>184.3</v>
      </c>
      <c r="AE40" s="7">
        <f t="shared" si="13"/>
        <v>285.3</v>
      </c>
      <c r="AF40" s="7">
        <f t="shared" si="13"/>
        <v>361</v>
      </c>
      <c r="AG40" s="7">
        <f t="shared" si="13"/>
        <v>422.8</v>
      </c>
      <c r="AH40" s="7">
        <f t="shared" si="13"/>
        <v>390.5</v>
      </c>
      <c r="AI40" s="7">
        <f t="shared" si="13"/>
        <v>170.7</v>
      </c>
      <c r="AJ40" s="7">
        <f t="shared" si="13"/>
        <v>257.7</v>
      </c>
      <c r="AK40" s="7">
        <f t="shared" si="13"/>
        <v>391</v>
      </c>
      <c r="AL40" s="7">
        <f t="shared" si="13"/>
        <v>334.8</v>
      </c>
      <c r="AM40" s="7">
        <f t="shared" si="13"/>
        <v>436.5</v>
      </c>
      <c r="AN40" s="7">
        <f t="shared" si="13"/>
        <v>339.2</v>
      </c>
      <c r="AO40" s="7">
        <f t="shared" si="13"/>
        <v>318.8</v>
      </c>
      <c r="AP40" s="7">
        <f t="shared" si="13"/>
        <v>506.5</v>
      </c>
      <c r="AQ40" s="7">
        <f t="shared" si="13"/>
        <v>443.6</v>
      </c>
      <c r="AR40" s="7">
        <f t="shared" si="13"/>
        <v>393.3</v>
      </c>
      <c r="AS40" s="7">
        <f t="shared" si="13"/>
        <v>509.4</v>
      </c>
      <c r="AT40" s="7">
        <f t="shared" si="13"/>
        <v>370.4</v>
      </c>
      <c r="AU40" s="7">
        <f t="shared" si="13"/>
        <v>408.9</v>
      </c>
      <c r="AV40" s="7">
        <f t="shared" si="13"/>
        <v>498.2</v>
      </c>
      <c r="AW40" s="7">
        <f t="shared" si="13"/>
        <v>407.6</v>
      </c>
      <c r="AX40" s="7">
        <f t="shared" si="13"/>
        <v>505.1</v>
      </c>
      <c r="AY40" s="7">
        <f t="shared" si="13"/>
        <v>503.2</v>
      </c>
      <c r="AZ40" s="7">
        <f t="shared" si="13"/>
        <v>407.2</v>
      </c>
      <c r="BA40" s="7">
        <f t="shared" si="13"/>
        <v>451.3</v>
      </c>
      <c r="BB40" s="7">
        <f t="shared" si="13"/>
        <v>391.1</v>
      </c>
      <c r="BC40" s="7">
        <f t="shared" si="13"/>
        <v>459.5</v>
      </c>
      <c r="BD40" s="7">
        <f t="shared" si="13"/>
        <v>454.5</v>
      </c>
      <c r="BE40" s="7">
        <f t="shared" si="13"/>
        <v>551.6</v>
      </c>
      <c r="BF40" s="7">
        <f t="shared" si="13"/>
        <v>450.5</v>
      </c>
      <c r="BG40" s="136">
        <f t="shared" si="13"/>
        <v>606.4</v>
      </c>
    </row>
    <row r="41" spans="1:59" ht="12.75">
      <c r="A41" s="21" t="s">
        <v>29</v>
      </c>
      <c r="B41" s="8"/>
      <c r="C41" s="8"/>
      <c r="D41" s="4"/>
      <c r="E41" s="4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136"/>
    </row>
    <row r="42" spans="1:65" ht="12.75">
      <c r="A42" s="21" t="s">
        <v>30</v>
      </c>
      <c r="B42" s="7">
        <f aca="true" t="shared" si="14" ref="B42:BG45">B107+B160</f>
        <v>56771.07000000001</v>
      </c>
      <c r="C42" s="7">
        <f t="shared" si="14"/>
        <v>74005.96169</v>
      </c>
      <c r="D42" s="7">
        <f t="shared" si="14"/>
        <v>81973.91137</v>
      </c>
      <c r="E42" s="7">
        <f t="shared" si="14"/>
        <v>95272.45555000001</v>
      </c>
      <c r="F42" s="7">
        <f t="shared" si="14"/>
        <v>103052.29553999999</v>
      </c>
      <c r="G42" s="7">
        <f t="shared" si="14"/>
        <v>106729.279456</v>
      </c>
      <c r="H42" s="7">
        <f t="shared" si="14"/>
        <v>112749.16764500001</v>
      </c>
      <c r="I42" s="7">
        <f t="shared" si="14"/>
        <v>109447.07393800002</v>
      </c>
      <c r="J42" s="7">
        <f t="shared" si="14"/>
        <v>106799.21386999999</v>
      </c>
      <c r="K42" s="7">
        <f t="shared" si="14"/>
        <v>108138.35223499998</v>
      </c>
      <c r="L42" s="7">
        <f t="shared" si="14"/>
        <v>105415.40735</v>
      </c>
      <c r="M42" s="7">
        <f t="shared" si="14"/>
        <v>109153.72475000001</v>
      </c>
      <c r="N42" s="7">
        <f t="shared" si="14"/>
        <v>111856.72302</v>
      </c>
      <c r="O42" s="7">
        <f t="shared" si="14"/>
        <v>111103.22393499999</v>
      </c>
      <c r="P42" s="7">
        <f t="shared" si="14"/>
        <v>110485.38611</v>
      </c>
      <c r="Q42" s="7">
        <f t="shared" si="14"/>
        <v>113373.43844</v>
      </c>
      <c r="R42" s="7">
        <f t="shared" si="14"/>
        <v>111951.40000000001</v>
      </c>
      <c r="S42" s="7">
        <f t="shared" si="14"/>
        <v>110481.472677</v>
      </c>
      <c r="T42" s="7">
        <f t="shared" si="14"/>
        <v>114272.449728</v>
      </c>
      <c r="U42" s="7">
        <f t="shared" si="14"/>
        <v>110620.060504</v>
      </c>
      <c r="V42" s="7">
        <f t="shared" si="14"/>
        <v>120217.17334400001</v>
      </c>
      <c r="W42" s="7">
        <f t="shared" si="14"/>
        <v>115882.500195</v>
      </c>
      <c r="X42" s="7">
        <f t="shared" si="14"/>
        <v>114162.92927</v>
      </c>
      <c r="Y42" s="7">
        <f t="shared" si="14"/>
        <v>121137.51577200001</v>
      </c>
      <c r="Z42" s="7">
        <f t="shared" si="14"/>
        <v>114707.84417</v>
      </c>
      <c r="AA42" s="7">
        <f t="shared" si="14"/>
        <v>117816.163216</v>
      </c>
      <c r="AB42" s="7">
        <f t="shared" si="14"/>
        <v>120957.76181600001</v>
      </c>
      <c r="AC42" s="7">
        <f t="shared" si="14"/>
        <v>122820.772</v>
      </c>
      <c r="AD42" s="7">
        <f t="shared" si="14"/>
        <v>126263.275868</v>
      </c>
      <c r="AE42" s="7">
        <f t="shared" si="14"/>
        <v>124832.38966</v>
      </c>
      <c r="AF42" s="7">
        <f t="shared" si="14"/>
        <v>126970.34668</v>
      </c>
      <c r="AG42" s="7">
        <f t="shared" si="14"/>
        <v>128600.93393600002</v>
      </c>
      <c r="AH42" s="7">
        <f t="shared" si="14"/>
        <v>132230.447245</v>
      </c>
      <c r="AI42" s="7">
        <f t="shared" si="14"/>
        <v>133740.619294</v>
      </c>
      <c r="AJ42" s="7">
        <f t="shared" si="14"/>
        <v>131653.071312</v>
      </c>
      <c r="AK42" s="7">
        <f t="shared" si="14"/>
        <v>129276.049792</v>
      </c>
      <c r="AL42" s="7">
        <f t="shared" si="14"/>
        <v>130870.825952</v>
      </c>
      <c r="AM42" s="7">
        <f t="shared" si="14"/>
        <v>133370.826127</v>
      </c>
      <c r="AN42" s="7">
        <f t="shared" si="14"/>
        <v>133628.41085</v>
      </c>
      <c r="AO42" s="7">
        <f t="shared" si="14"/>
        <v>134079.14601599998</v>
      </c>
      <c r="AP42" s="7">
        <f t="shared" si="14"/>
        <v>134384.16619000002</v>
      </c>
      <c r="AQ42" s="7">
        <f t="shared" si="14"/>
        <v>127678.308</v>
      </c>
      <c r="AR42" s="7">
        <f t="shared" si="14"/>
        <v>131020.6046625</v>
      </c>
      <c r="AS42" s="7">
        <f t="shared" si="14"/>
        <v>132529.524336</v>
      </c>
      <c r="AT42" s="7">
        <f t="shared" si="14"/>
        <v>134492.688364</v>
      </c>
      <c r="AU42" s="7">
        <f t="shared" si="14"/>
        <v>135663.90956549998</v>
      </c>
      <c r="AV42" s="7">
        <f t="shared" si="14"/>
        <v>138885.3469505</v>
      </c>
      <c r="AW42" s="7">
        <f t="shared" si="14"/>
        <v>140816.4090735</v>
      </c>
      <c r="AX42" s="7">
        <f t="shared" si="14"/>
        <v>144967.236868</v>
      </c>
      <c r="AY42" s="7">
        <f t="shared" si="14"/>
        <v>146037.6040234</v>
      </c>
      <c r="AZ42" s="7">
        <f t="shared" si="14"/>
        <v>152330.5690724</v>
      </c>
      <c r="BA42" s="7">
        <f t="shared" si="14"/>
        <v>150290.183632</v>
      </c>
      <c r="BB42" s="7">
        <f t="shared" si="14"/>
        <v>153578.92591</v>
      </c>
      <c r="BC42" s="7">
        <f t="shared" si="14"/>
        <v>153622.636677</v>
      </c>
      <c r="BD42" s="7">
        <f t="shared" si="14"/>
        <v>150568.8178504</v>
      </c>
      <c r="BE42" s="7">
        <f t="shared" si="14"/>
        <v>152968.754772</v>
      </c>
      <c r="BF42" s="7">
        <f t="shared" si="14"/>
        <v>147929.9721602</v>
      </c>
      <c r="BG42" s="136">
        <f t="shared" si="14"/>
        <v>152421.97826150001</v>
      </c>
      <c r="BI42" s="146">
        <f>BG42-BB42</f>
        <v>-1156.947648499976</v>
      </c>
      <c r="BJ42" s="123">
        <v>2018</v>
      </c>
      <c r="BK42" s="124">
        <v>2017</v>
      </c>
      <c r="BL42" s="124">
        <v>2016</v>
      </c>
      <c r="BM42" s="124">
        <v>2015</v>
      </c>
    </row>
    <row r="43" spans="1:65" ht="12.75">
      <c r="A43" s="21" t="s">
        <v>31</v>
      </c>
      <c r="B43" s="7">
        <f t="shared" si="14"/>
        <v>68965.5101344</v>
      </c>
      <c r="C43" s="7">
        <f t="shared" si="14"/>
        <v>84294.62941590001</v>
      </c>
      <c r="D43" s="7">
        <f t="shared" si="14"/>
        <v>97277.1735617</v>
      </c>
      <c r="E43" s="7">
        <f t="shared" si="14"/>
        <v>104462.0016338</v>
      </c>
      <c r="F43" s="7">
        <f t="shared" si="14"/>
        <v>115142.1884318</v>
      </c>
      <c r="G43" s="7">
        <f t="shared" si="14"/>
        <v>107938.20212</v>
      </c>
      <c r="H43" s="7">
        <f t="shared" si="14"/>
        <v>107903.96424100001</v>
      </c>
      <c r="I43" s="7">
        <f t="shared" si="14"/>
        <v>103105.63270000002</v>
      </c>
      <c r="J43" s="7">
        <f t="shared" si="14"/>
        <v>103276.297866</v>
      </c>
      <c r="K43" s="7">
        <f t="shared" si="14"/>
        <v>102977.925035</v>
      </c>
      <c r="L43" s="7">
        <f t="shared" si="14"/>
        <v>107189.11419499997</v>
      </c>
      <c r="M43" s="7">
        <f t="shared" si="14"/>
        <v>101372.59221999999</v>
      </c>
      <c r="N43" s="7">
        <f t="shared" si="14"/>
        <v>101846.60565400001</v>
      </c>
      <c r="O43" s="7">
        <f t="shared" si="14"/>
        <v>101524.94403700001</v>
      </c>
      <c r="P43" s="7">
        <f t="shared" si="14"/>
        <v>110171.34611799999</v>
      </c>
      <c r="Q43" s="7">
        <f t="shared" si="14"/>
        <v>110436.42994</v>
      </c>
      <c r="R43" s="7">
        <f t="shared" si="14"/>
        <v>112410.80313900001</v>
      </c>
      <c r="S43" s="7">
        <f t="shared" si="14"/>
        <v>112904.065637</v>
      </c>
      <c r="T43" s="7">
        <f t="shared" si="14"/>
        <v>113153.741324</v>
      </c>
      <c r="U43" s="7">
        <f t="shared" si="14"/>
        <v>113867.06976599997</v>
      </c>
      <c r="V43" s="7">
        <f t="shared" si="14"/>
        <v>113050.17014</v>
      </c>
      <c r="W43" s="7">
        <f t="shared" si="14"/>
        <v>118292.83791500001</v>
      </c>
      <c r="X43" s="7">
        <f t="shared" si="14"/>
        <v>112208.99883000001</v>
      </c>
      <c r="Y43" s="7">
        <f t="shared" si="14"/>
        <v>109407.93749399998</v>
      </c>
      <c r="Z43" s="7">
        <f t="shared" si="14"/>
        <v>109814.13365</v>
      </c>
      <c r="AA43" s="7">
        <f t="shared" si="14"/>
        <v>109852.739278</v>
      </c>
      <c r="AB43" s="7">
        <f t="shared" si="14"/>
        <v>115255.55426099998</v>
      </c>
      <c r="AC43" s="7">
        <f t="shared" si="14"/>
        <v>115367.24372</v>
      </c>
      <c r="AD43" s="7">
        <f t="shared" si="14"/>
        <v>114946.74563559999</v>
      </c>
      <c r="AE43" s="7">
        <f t="shared" si="14"/>
        <v>114487.993808</v>
      </c>
      <c r="AF43" s="7">
        <f t="shared" si="14"/>
        <v>114613.3714</v>
      </c>
      <c r="AG43" s="7">
        <f t="shared" si="14"/>
        <v>116778.89375199999</v>
      </c>
      <c r="AH43" s="7">
        <f t="shared" si="14"/>
        <v>124041.39742</v>
      </c>
      <c r="AI43" s="7">
        <f t="shared" si="14"/>
        <v>124755.57521799998</v>
      </c>
      <c r="AJ43" s="7">
        <f t="shared" si="14"/>
        <v>123874.87986399999</v>
      </c>
      <c r="AK43" s="7">
        <f t="shared" si="14"/>
        <v>123483.390528</v>
      </c>
      <c r="AL43" s="7">
        <f t="shared" si="14"/>
        <v>126401.49859000002</v>
      </c>
      <c r="AM43" s="7">
        <f t="shared" si="14"/>
        <v>121586.490359</v>
      </c>
      <c r="AN43" s="7">
        <f t="shared" si="14"/>
        <v>125387.54482000001</v>
      </c>
      <c r="AO43" s="7">
        <f t="shared" si="14"/>
        <v>126715.813042</v>
      </c>
      <c r="AP43" s="7">
        <f t="shared" si="14"/>
        <v>126672.040707</v>
      </c>
      <c r="AQ43" s="7">
        <f t="shared" si="14"/>
        <v>126589.767472</v>
      </c>
      <c r="AR43" s="7">
        <f t="shared" si="14"/>
        <v>136088.048625</v>
      </c>
      <c r="AS43" s="7">
        <f t="shared" si="14"/>
        <v>130072.509808</v>
      </c>
      <c r="AT43" s="7">
        <f t="shared" si="14"/>
        <v>129450.678915</v>
      </c>
      <c r="AU43" s="7">
        <f t="shared" si="14"/>
        <v>129064.68416300003</v>
      </c>
      <c r="AV43" s="7">
        <f t="shared" si="14"/>
        <v>122717.12363490001</v>
      </c>
      <c r="AW43" s="7">
        <f t="shared" si="14"/>
        <v>121225.0033368</v>
      </c>
      <c r="AX43" s="7">
        <f t="shared" si="14"/>
        <v>121898.932768</v>
      </c>
      <c r="AY43" s="7">
        <f t="shared" si="14"/>
        <v>123692.97503990002</v>
      </c>
      <c r="AZ43" s="7">
        <f t="shared" si="14"/>
        <v>131290.9819024</v>
      </c>
      <c r="BA43" s="7">
        <f t="shared" si="14"/>
        <v>130819.67783999999</v>
      </c>
      <c r="BB43" s="7">
        <f t="shared" si="14"/>
        <v>132277.47129170003</v>
      </c>
      <c r="BC43" s="7">
        <f t="shared" si="14"/>
        <v>130229.6786794</v>
      </c>
      <c r="BD43" s="7">
        <f t="shared" si="14"/>
        <v>130278.38468880001</v>
      </c>
      <c r="BE43" s="7">
        <f t="shared" si="14"/>
        <v>130826.979876</v>
      </c>
      <c r="BF43" s="7">
        <f t="shared" si="14"/>
        <v>140045.4020326</v>
      </c>
      <c r="BG43" s="136">
        <f t="shared" si="14"/>
        <v>141669.93593049998</v>
      </c>
      <c r="BI43" s="146">
        <f>BG43-BB43</f>
        <v>9392.464638799953</v>
      </c>
      <c r="BJ43" s="57">
        <f>162.4/4.0736</f>
        <v>39.86645718774549</v>
      </c>
      <c r="BK43" s="27">
        <f>152/3.8915</f>
        <v>39.05948862906334</v>
      </c>
      <c r="BL43" s="27">
        <f>143.6/4.3033</f>
        <v>33.36973950224246</v>
      </c>
      <c r="BM43" s="27">
        <f>141.4/4.1477</f>
        <v>34.0911830653133</v>
      </c>
    </row>
    <row r="44" spans="1:64" ht="12.75">
      <c r="A44" s="21" t="s">
        <v>32</v>
      </c>
      <c r="B44" s="7">
        <f t="shared" si="14"/>
        <v>6231.9636224</v>
      </c>
      <c r="C44" s="7">
        <f t="shared" si="14"/>
        <v>5464.148358900001</v>
      </c>
      <c r="D44" s="7">
        <f t="shared" si="14"/>
        <v>12161.2242337</v>
      </c>
      <c r="E44" s="7">
        <f t="shared" si="14"/>
        <v>16074.417790700001</v>
      </c>
      <c r="F44" s="7">
        <f t="shared" si="14"/>
        <v>24611.6748885</v>
      </c>
      <c r="G44" s="7">
        <f t="shared" si="14"/>
        <v>26156.170379000003</v>
      </c>
      <c r="H44" s="7">
        <f t="shared" si="14"/>
        <v>26393.789327000006</v>
      </c>
      <c r="I44" s="7">
        <f t="shared" si="14"/>
        <v>27283.1794425</v>
      </c>
      <c r="J44" s="7">
        <f t="shared" si="14"/>
        <v>26122.409368</v>
      </c>
      <c r="K44" s="7">
        <f t="shared" si="14"/>
        <v>26577.436141499995</v>
      </c>
      <c r="L44" s="7">
        <f t="shared" si="14"/>
        <v>26256.5576515</v>
      </c>
      <c r="M44" s="7">
        <f t="shared" si="14"/>
        <v>26354.517786</v>
      </c>
      <c r="N44" s="7">
        <f t="shared" si="14"/>
        <v>25814.332151</v>
      </c>
      <c r="O44" s="7">
        <f t="shared" si="14"/>
        <v>25669.074063</v>
      </c>
      <c r="P44" s="7">
        <f t="shared" si="14"/>
        <v>26151.600647999996</v>
      </c>
      <c r="Q44" s="7">
        <f t="shared" si="14"/>
        <v>27108.627099999998</v>
      </c>
      <c r="R44" s="7">
        <f t="shared" si="14"/>
        <v>26795.370919499997</v>
      </c>
      <c r="S44" s="7">
        <f t="shared" si="14"/>
        <v>26798.594609999996</v>
      </c>
      <c r="T44" s="7">
        <f t="shared" si="14"/>
        <v>26375.017539999997</v>
      </c>
      <c r="U44" s="7">
        <f t="shared" si="14"/>
        <v>25225.181868</v>
      </c>
      <c r="V44" s="7">
        <f t="shared" si="14"/>
        <v>25084.322082</v>
      </c>
      <c r="W44" s="7">
        <f t="shared" si="14"/>
        <v>25682.58851</v>
      </c>
      <c r="X44" s="7">
        <f t="shared" si="14"/>
        <v>25818.369100000004</v>
      </c>
      <c r="Y44" s="7">
        <f t="shared" si="14"/>
        <v>25837.27023</v>
      </c>
      <c r="Z44" s="7">
        <f t="shared" si="14"/>
        <v>25290.554449999996</v>
      </c>
      <c r="AA44" s="7">
        <f t="shared" si="14"/>
        <v>25115.505814000004</v>
      </c>
      <c r="AB44" s="7">
        <f t="shared" si="14"/>
        <v>25866.487846999997</v>
      </c>
      <c r="AC44" s="7">
        <f t="shared" si="14"/>
        <v>26656.50176</v>
      </c>
      <c r="AD44" s="7">
        <f t="shared" si="14"/>
        <v>26838.261240500004</v>
      </c>
      <c r="AE44" s="7">
        <f t="shared" si="14"/>
        <v>26249.901842</v>
      </c>
      <c r="AF44" s="7">
        <f t="shared" si="14"/>
        <v>26526.04488</v>
      </c>
      <c r="AG44" s="7">
        <f t="shared" si="14"/>
        <v>26443.300041</v>
      </c>
      <c r="AH44" s="7">
        <f t="shared" si="14"/>
        <v>25663.907559</v>
      </c>
      <c r="AI44" s="7">
        <f t="shared" si="14"/>
        <v>25155.132866000004</v>
      </c>
      <c r="AJ44" s="7">
        <f t="shared" si="14"/>
        <v>24541.910728000003</v>
      </c>
      <c r="AK44" s="7">
        <f t="shared" si="14"/>
        <v>23916.714442</v>
      </c>
      <c r="AL44" s="7">
        <f t="shared" si="14"/>
        <v>23689.998016</v>
      </c>
      <c r="AM44" s="7">
        <f t="shared" si="14"/>
        <v>23817.000837</v>
      </c>
      <c r="AN44" s="7">
        <f t="shared" si="14"/>
        <v>24016.233379999998</v>
      </c>
      <c r="AO44" s="7">
        <f t="shared" si="14"/>
        <v>23833.749315999998</v>
      </c>
      <c r="AP44" s="7">
        <f t="shared" si="14"/>
        <v>23643.532014999993</v>
      </c>
      <c r="AQ44" s="7">
        <f t="shared" si="14"/>
        <v>22731.331954</v>
      </c>
      <c r="AR44" s="7">
        <f t="shared" si="14"/>
        <v>23107.871125</v>
      </c>
      <c r="AS44" s="7">
        <f t="shared" si="14"/>
        <v>22821.793648</v>
      </c>
      <c r="AT44" s="7">
        <f t="shared" si="14"/>
        <v>23181.457912</v>
      </c>
      <c r="AU44" s="7">
        <f t="shared" si="14"/>
        <v>23910.076988</v>
      </c>
      <c r="AV44" s="7">
        <f t="shared" si="14"/>
        <v>27963.208658800002</v>
      </c>
      <c r="AW44" s="7">
        <f t="shared" si="14"/>
        <v>27557.8342629</v>
      </c>
      <c r="AX44" s="7">
        <f t="shared" si="14"/>
        <v>27726.341955999997</v>
      </c>
      <c r="AY44" s="7">
        <f t="shared" si="14"/>
        <v>27944.048795500003</v>
      </c>
      <c r="AZ44" s="7">
        <f t="shared" si="14"/>
        <v>28536.712229999997</v>
      </c>
      <c r="BA44" s="7">
        <f t="shared" si="14"/>
        <v>28406.165503999997</v>
      </c>
      <c r="BB44" s="7">
        <f t="shared" si="14"/>
        <v>28263.838868000003</v>
      </c>
      <c r="BC44" s="7">
        <f t="shared" si="14"/>
        <v>28611.6678932</v>
      </c>
      <c r="BD44" s="7">
        <f t="shared" si="14"/>
        <v>28789.368327200005</v>
      </c>
      <c r="BE44" s="7">
        <f t="shared" si="14"/>
        <v>29293.667113200005</v>
      </c>
      <c r="BF44" s="7">
        <f t="shared" si="14"/>
        <v>29242.346184600006</v>
      </c>
      <c r="BG44" s="136">
        <f t="shared" si="14"/>
        <v>29321.968460100004</v>
      </c>
      <c r="BI44" s="146">
        <f>BG44-BB44</f>
        <v>1058.129592100002</v>
      </c>
      <c r="BJ44" s="27"/>
      <c r="BK44" s="27"/>
      <c r="BL44" s="27"/>
    </row>
    <row r="45" spans="1:61" ht="12.75">
      <c r="A45" s="21" t="s">
        <v>33</v>
      </c>
      <c r="B45" s="7">
        <f t="shared" si="14"/>
        <v>12495.465795200005</v>
      </c>
      <c r="C45" s="7">
        <f t="shared" si="14"/>
        <v>13155.85045699999</v>
      </c>
      <c r="D45" s="7">
        <f t="shared" si="14"/>
        <v>13024.9181361</v>
      </c>
      <c r="E45" s="7">
        <f t="shared" si="14"/>
        <v>7540.938381399999</v>
      </c>
      <c r="F45" s="7">
        <f t="shared" si="14"/>
        <v>3248.9031857000155</v>
      </c>
      <c r="G45" s="7">
        <f t="shared" si="14"/>
        <v>3412.874376000029</v>
      </c>
      <c r="H45" s="7">
        <f t="shared" si="14"/>
        <v>2593.3754489999883</v>
      </c>
      <c r="I45" s="7">
        <f t="shared" si="14"/>
        <v>717.8777414999822</v>
      </c>
      <c r="J45" s="7">
        <f t="shared" si="14"/>
        <v>2488.6567860000105</v>
      </c>
      <c r="K45" s="7">
        <f t="shared" si="14"/>
        <v>2542.3121490000085</v>
      </c>
      <c r="L45" s="7">
        <f t="shared" si="14"/>
        <v>673.1400535000284</v>
      </c>
      <c r="M45" s="7">
        <f t="shared" si="14"/>
        <v>2452.0548000000163</v>
      </c>
      <c r="N45" s="7">
        <f t="shared" si="14"/>
        <v>2244.8586499999983</v>
      </c>
      <c r="O45" s="7">
        <f t="shared" si="14"/>
        <v>739.6419449999994</v>
      </c>
      <c r="P45" s="7">
        <f t="shared" si="14"/>
        <v>2476.2701399999933</v>
      </c>
      <c r="Q45" s="7">
        <f t="shared" si="14"/>
        <v>2339.643594999994</v>
      </c>
      <c r="R45" s="7">
        <f t="shared" si="14"/>
        <v>2195.4259414999906</v>
      </c>
      <c r="S45" s="7">
        <f t="shared" si="14"/>
        <v>2307.0298469999725</v>
      </c>
      <c r="T45" s="7">
        <f t="shared" si="14"/>
        <v>2588.532763999963</v>
      </c>
      <c r="U45" s="7">
        <f t="shared" si="14"/>
        <v>834.211452000025</v>
      </c>
      <c r="V45" s="7">
        <f t="shared" si="14"/>
        <v>2584.176183999989</v>
      </c>
      <c r="W45" s="7">
        <f t="shared" si="14"/>
        <v>2555.7647499999657</v>
      </c>
      <c r="X45" s="7">
        <f t="shared" si="14"/>
        <v>1130.8375400000004</v>
      </c>
      <c r="Y45" s="7">
        <f t="shared" si="14"/>
        <v>2879.8257680000424</v>
      </c>
      <c r="Z45" s="7">
        <f t="shared" si="14"/>
        <v>2626.8969750000033</v>
      </c>
      <c r="AA45" s="7">
        <f t="shared" si="14"/>
        <v>1085.4735619999992</v>
      </c>
      <c r="AB45" s="7">
        <f t="shared" si="14"/>
        <v>2450.8304580000004</v>
      </c>
      <c r="AC45" s="7">
        <f t="shared" si="14"/>
        <v>2550.7497600000206</v>
      </c>
      <c r="AD45" s="7">
        <f t="shared" si="14"/>
        <v>1965.1701008999917</v>
      </c>
      <c r="AE45" s="7">
        <f t="shared" si="14"/>
        <v>2305.450182000004</v>
      </c>
      <c r="AF45" s="7">
        <f t="shared" si="14"/>
        <v>2508.954120000024</v>
      </c>
      <c r="AG45" s="7">
        <f t="shared" si="14"/>
        <v>1474.3211590000174</v>
      </c>
      <c r="AH45" s="7">
        <f t="shared" si="14"/>
        <v>2405.958309000016</v>
      </c>
      <c r="AI45" s="7">
        <f t="shared" si="14"/>
        <v>2521.516446000005</v>
      </c>
      <c r="AJ45" s="7">
        <f t="shared" si="14"/>
        <v>1160.6936640000094</v>
      </c>
      <c r="AK45" s="7">
        <f t="shared" si="14"/>
        <v>2633.512490000023</v>
      </c>
      <c r="AL45" s="7">
        <f t="shared" si="14"/>
        <v>2209.1344379999864</v>
      </c>
      <c r="AM45" s="7">
        <f t="shared" si="14"/>
        <v>885.0260540000381</v>
      </c>
      <c r="AN45" s="7">
        <f t="shared" si="14"/>
        <v>2179.8729399999793</v>
      </c>
      <c r="AO45" s="7">
        <f t="shared" si="14"/>
        <v>2175.854846400016</v>
      </c>
      <c r="AP45" s="7">
        <f t="shared" si="14"/>
        <v>1699.8610880000087</v>
      </c>
      <c r="AQ45" s="7">
        <f t="shared" si="14"/>
        <v>2113.5650859999732</v>
      </c>
      <c r="AR45" s="7">
        <f t="shared" si="14"/>
        <v>2010.5585874999233</v>
      </c>
      <c r="AS45" s="7">
        <f t="shared" si="14"/>
        <v>1814.4519168000152</v>
      </c>
      <c r="AT45" s="7">
        <f t="shared" si="14"/>
        <v>1796.1923059999863</v>
      </c>
      <c r="AU45" s="7">
        <f t="shared" si="14"/>
        <v>1855.5277994999924</v>
      </c>
      <c r="AV45" s="7">
        <f t="shared" si="14"/>
        <v>1851.470971099996</v>
      </c>
      <c r="AW45" s="7">
        <f t="shared" si="14"/>
        <v>1799.5894909000126</v>
      </c>
      <c r="AX45" s="7">
        <f t="shared" si="14"/>
        <v>1809.8039520000239</v>
      </c>
      <c r="AY45" s="7">
        <f t="shared" si="14"/>
        <v>1276.0442844000027</v>
      </c>
      <c r="AZ45" s="7">
        <f t="shared" si="14"/>
        <v>1786.79171639997</v>
      </c>
      <c r="BA45" s="7">
        <f t="shared" si="14"/>
        <v>1772.3529599999783</v>
      </c>
      <c r="BB45" s="7">
        <f t="shared" si="14"/>
        <v>1812.7387662999972</v>
      </c>
      <c r="BC45" s="7">
        <f t="shared" si="14"/>
        <v>1860.8237479999807</v>
      </c>
      <c r="BD45" s="7">
        <f t="shared" si="14"/>
        <v>1826.9384800000225</v>
      </c>
      <c r="BE45" s="7">
        <f t="shared" si="14"/>
        <v>1818.5513472000275</v>
      </c>
      <c r="BF45" s="7">
        <f t="shared" si="14"/>
        <v>1809.229418799976</v>
      </c>
      <c r="BG45" s="136">
        <f t="shared" si="14"/>
        <v>1853.0899497000137</v>
      </c>
      <c r="BI45" s="146">
        <f>BG45-BB45</f>
        <v>40.35118340001645</v>
      </c>
    </row>
    <row r="46" spans="1:61" s="86" customFormat="1" ht="12.75">
      <c r="A46" s="155" t="s">
        <v>34</v>
      </c>
      <c r="B46" s="156">
        <f aca="true" t="shared" si="15" ref="B46:BC46">B47+B48</f>
        <v>146740.5</v>
      </c>
      <c r="C46" s="156">
        <f t="shared" si="15"/>
        <v>179102</v>
      </c>
      <c r="D46" s="156">
        <f t="shared" si="15"/>
        <v>207519.1</v>
      </c>
      <c r="E46" s="156">
        <f t="shared" si="15"/>
        <v>223349.8133559</v>
      </c>
      <c r="F46" s="156">
        <f t="shared" si="15"/>
        <v>246055.00204599998</v>
      </c>
      <c r="G46" s="156">
        <f t="shared" si="15"/>
        <v>244236.55633100003</v>
      </c>
      <c r="H46" s="156">
        <f t="shared" si="15"/>
        <v>249640.256662</v>
      </c>
      <c r="I46" s="156">
        <f t="shared" si="15"/>
        <v>240553.763822</v>
      </c>
      <c r="J46" s="156">
        <f t="shared" si="15"/>
        <v>238686.57789000002</v>
      </c>
      <c r="K46" s="156">
        <f t="shared" si="15"/>
        <v>240236.02556049998</v>
      </c>
      <c r="L46" s="156">
        <f t="shared" si="15"/>
        <v>239534.21925</v>
      </c>
      <c r="M46" s="156">
        <f t="shared" si="15"/>
        <v>239332.88955599998</v>
      </c>
      <c r="N46" s="156">
        <f t="shared" si="15"/>
        <v>241762.51947499998</v>
      </c>
      <c r="O46" s="156">
        <f t="shared" si="15"/>
        <v>239036.88397999998</v>
      </c>
      <c r="P46" s="156">
        <f t="shared" si="15"/>
        <v>249284.623016</v>
      </c>
      <c r="Q46" s="156">
        <f t="shared" si="15"/>
        <v>253258.059075</v>
      </c>
      <c r="R46" s="156">
        <f t="shared" si="15"/>
        <v>253353.05</v>
      </c>
      <c r="S46" s="156">
        <f t="shared" si="15"/>
        <v>252491.16277099997</v>
      </c>
      <c r="T46" s="156">
        <f t="shared" si="15"/>
        <v>256389.74135599995</v>
      </c>
      <c r="U46" s="156">
        <f t="shared" si="15"/>
        <v>250546.42359</v>
      </c>
      <c r="V46" s="156">
        <f t="shared" si="15"/>
        <v>260935.84175000002</v>
      </c>
      <c r="W46" s="156">
        <f t="shared" si="15"/>
        <v>262413.79137</v>
      </c>
      <c r="X46" s="156">
        <f t="shared" si="15"/>
        <v>253321.23474</v>
      </c>
      <c r="Y46" s="156">
        <f t="shared" si="15"/>
        <v>259262.64926400004</v>
      </c>
      <c r="Z46" s="156">
        <f t="shared" si="15"/>
        <v>252439.389245</v>
      </c>
      <c r="AA46" s="156">
        <f t="shared" si="15"/>
        <v>253869.58187000002</v>
      </c>
      <c r="AB46" s="156">
        <f t="shared" si="15"/>
        <v>264530.634382</v>
      </c>
      <c r="AC46" s="156">
        <f t="shared" si="15"/>
        <v>267395.26723999996</v>
      </c>
      <c r="AD46" s="156">
        <f t="shared" si="15"/>
        <v>270013.552845</v>
      </c>
      <c r="AE46" s="156">
        <f t="shared" si="15"/>
        <v>267875.735492</v>
      </c>
      <c r="AF46" s="156">
        <f t="shared" si="15"/>
        <v>270618.71708000003</v>
      </c>
      <c r="AG46" s="156">
        <f t="shared" si="15"/>
        <v>273297.548888</v>
      </c>
      <c r="AH46" s="156">
        <f t="shared" si="15"/>
        <v>284341.810533</v>
      </c>
      <c r="AI46" s="156">
        <f t="shared" si="15"/>
        <v>286172.843824</v>
      </c>
      <c r="AJ46" s="156">
        <f t="shared" si="15"/>
        <v>281230.555568</v>
      </c>
      <c r="AK46" s="156">
        <f t="shared" si="15"/>
        <v>279309.667252</v>
      </c>
      <c r="AL46" s="156">
        <f t="shared" si="15"/>
        <v>283171.45699599996</v>
      </c>
      <c r="AM46" s="156">
        <f t="shared" si="15"/>
        <v>279659.44337700005</v>
      </c>
      <c r="AN46" s="156">
        <f t="shared" si="15"/>
        <v>285212.06198999996</v>
      </c>
      <c r="AO46" s="156">
        <f t="shared" si="15"/>
        <v>286804.5632204</v>
      </c>
      <c r="AP46" s="156">
        <f t="shared" si="15"/>
        <v>286399.6</v>
      </c>
      <c r="AQ46" s="156">
        <f t="shared" si="15"/>
        <v>279112.972512</v>
      </c>
      <c r="AR46" s="156">
        <f t="shared" si="15"/>
        <v>292227.0829999999</v>
      </c>
      <c r="AS46" s="156">
        <f t="shared" si="15"/>
        <v>287238.2797088</v>
      </c>
      <c r="AT46" s="156">
        <f t="shared" si="15"/>
        <v>288920.91749699996</v>
      </c>
      <c r="AU46" s="156">
        <f t="shared" si="15"/>
        <v>290494.19851599995</v>
      </c>
      <c r="AV46" s="156">
        <f t="shared" si="15"/>
        <v>291417.15021530003</v>
      </c>
      <c r="AW46" s="156">
        <f t="shared" si="15"/>
        <v>291398.83616410004</v>
      </c>
      <c r="AX46" s="156">
        <f t="shared" si="15"/>
        <v>296402.315544</v>
      </c>
      <c r="AY46" s="156">
        <f t="shared" si="15"/>
        <v>298950.67214320006</v>
      </c>
      <c r="AZ46" s="156">
        <f t="shared" si="15"/>
        <v>313945.0549212</v>
      </c>
      <c r="BA46" s="156">
        <f t="shared" si="15"/>
        <v>311288.3799359999</v>
      </c>
      <c r="BB46" s="156">
        <f t="shared" si="15"/>
        <v>315932.87483600003</v>
      </c>
      <c r="BC46" s="156">
        <f t="shared" si="15"/>
        <v>314324.8069976</v>
      </c>
      <c r="BD46" s="156">
        <f>BD47+BD48</f>
        <v>311463.40934640006</v>
      </c>
      <c r="BE46" s="156">
        <f>BE47+BE48</f>
        <v>314907.9531084</v>
      </c>
      <c r="BF46" s="156">
        <f>BF47+BF48</f>
        <v>319026.8497962</v>
      </c>
      <c r="BG46" s="156">
        <f>BG47+BG48</f>
        <v>325266.97260180005</v>
      </c>
      <c r="BH46" s="85"/>
      <c r="BI46" s="85"/>
    </row>
    <row r="47" spans="1:61" s="86" customFormat="1" ht="12.75">
      <c r="A47" s="155" t="s">
        <v>19</v>
      </c>
      <c r="B47" s="159">
        <f aca="true" t="shared" si="16" ref="B47:BC47">B111</f>
        <v>80458.03</v>
      </c>
      <c r="C47" s="159">
        <f t="shared" si="16"/>
        <v>96313.98</v>
      </c>
      <c r="D47" s="159">
        <f t="shared" si="16"/>
        <v>108522.58</v>
      </c>
      <c r="E47" s="159">
        <f t="shared" si="16"/>
        <v>114901.98</v>
      </c>
      <c r="F47" s="159">
        <f t="shared" si="16"/>
        <v>121813.24</v>
      </c>
      <c r="G47" s="159">
        <f t="shared" si="16"/>
        <v>122563.1</v>
      </c>
      <c r="H47" s="159">
        <f t="shared" si="16"/>
        <v>128634.95</v>
      </c>
      <c r="I47" s="159">
        <f t="shared" si="16"/>
        <v>127511.11</v>
      </c>
      <c r="J47" s="159">
        <f t="shared" si="16"/>
        <v>124069.96</v>
      </c>
      <c r="K47" s="159">
        <f t="shared" si="16"/>
        <v>123829.24</v>
      </c>
      <c r="L47" s="159">
        <f t="shared" si="16"/>
        <v>124294.57</v>
      </c>
      <c r="M47" s="159">
        <f t="shared" si="16"/>
        <v>120749.63</v>
      </c>
      <c r="N47" s="159">
        <f t="shared" si="16"/>
        <v>123476.9</v>
      </c>
      <c r="O47" s="159">
        <f t="shared" si="16"/>
        <v>123476.9</v>
      </c>
      <c r="P47" s="159">
        <f t="shared" si="16"/>
        <v>123476.9</v>
      </c>
      <c r="Q47" s="159">
        <f t="shared" si="16"/>
        <v>123476.9</v>
      </c>
      <c r="R47" s="159">
        <f t="shared" si="16"/>
        <v>123476.9</v>
      </c>
      <c r="S47" s="159">
        <f t="shared" si="16"/>
        <v>123476.9</v>
      </c>
      <c r="T47" s="159">
        <f t="shared" si="16"/>
        <v>123476.9</v>
      </c>
      <c r="U47" s="159">
        <f t="shared" si="16"/>
        <v>123476.9</v>
      </c>
      <c r="V47" s="159">
        <f t="shared" si="16"/>
        <v>123476.9</v>
      </c>
      <c r="W47" s="159">
        <f t="shared" si="16"/>
        <v>123476.9</v>
      </c>
      <c r="X47" s="159">
        <f t="shared" si="16"/>
        <v>123476.9</v>
      </c>
      <c r="Y47" s="159">
        <f t="shared" si="16"/>
        <v>123476.9</v>
      </c>
      <c r="Z47" s="159">
        <f t="shared" si="16"/>
        <v>123476.9</v>
      </c>
      <c r="AA47" s="159">
        <f t="shared" si="16"/>
        <v>123476.9</v>
      </c>
      <c r="AB47" s="159">
        <f t="shared" si="16"/>
        <v>123476.9</v>
      </c>
      <c r="AC47" s="159">
        <f t="shared" si="16"/>
        <v>123476.9</v>
      </c>
      <c r="AD47" s="159">
        <f t="shared" si="16"/>
        <v>123476.9</v>
      </c>
      <c r="AE47" s="159">
        <f t="shared" si="16"/>
        <v>123476.9</v>
      </c>
      <c r="AF47" s="159">
        <f t="shared" si="16"/>
        <v>123476.9</v>
      </c>
      <c r="AG47" s="159">
        <f t="shared" si="16"/>
        <v>123476.9</v>
      </c>
      <c r="AH47" s="159">
        <f t="shared" si="16"/>
        <v>123476.9</v>
      </c>
      <c r="AI47" s="159">
        <f t="shared" si="16"/>
        <v>123476.9</v>
      </c>
      <c r="AJ47" s="159">
        <f t="shared" si="16"/>
        <v>123476.9</v>
      </c>
      <c r="AK47" s="159">
        <f t="shared" si="16"/>
        <v>123476.9</v>
      </c>
      <c r="AL47" s="159">
        <f t="shared" si="16"/>
        <v>123476.9</v>
      </c>
      <c r="AM47" s="159">
        <f t="shared" si="16"/>
        <v>123476.9</v>
      </c>
      <c r="AN47" s="159">
        <f t="shared" si="16"/>
        <v>123476.9</v>
      </c>
      <c r="AO47" s="159">
        <f t="shared" si="16"/>
        <v>123476.9</v>
      </c>
      <c r="AP47" s="159">
        <f t="shared" si="16"/>
        <v>123476.9</v>
      </c>
      <c r="AQ47" s="159">
        <f t="shared" si="16"/>
        <v>123476.9</v>
      </c>
      <c r="AR47" s="159">
        <f t="shared" si="16"/>
        <v>123476.9</v>
      </c>
      <c r="AS47" s="159">
        <f t="shared" si="16"/>
        <v>123476.9</v>
      </c>
      <c r="AT47" s="159">
        <f t="shared" si="16"/>
        <v>123476.9</v>
      </c>
      <c r="AU47" s="159">
        <f t="shared" si="16"/>
        <v>123476.9</v>
      </c>
      <c r="AV47" s="159">
        <f t="shared" si="16"/>
        <v>123476.9</v>
      </c>
      <c r="AW47" s="159">
        <f t="shared" si="16"/>
        <v>123476.9</v>
      </c>
      <c r="AX47" s="159">
        <f t="shared" si="16"/>
        <v>123476.9</v>
      </c>
      <c r="AY47" s="159">
        <f t="shared" si="16"/>
        <v>123476.9</v>
      </c>
      <c r="AZ47" s="159">
        <f t="shared" si="16"/>
        <v>123476.9</v>
      </c>
      <c r="BA47" s="159">
        <f t="shared" si="16"/>
        <v>123476.9</v>
      </c>
      <c r="BB47" s="159">
        <f t="shared" si="16"/>
        <v>123476.9</v>
      </c>
      <c r="BC47" s="159">
        <f t="shared" si="16"/>
        <v>123476.9</v>
      </c>
      <c r="BD47" s="159">
        <f>BD111</f>
        <v>123476.9</v>
      </c>
      <c r="BE47" s="159">
        <f>BE111</f>
        <v>123476.9</v>
      </c>
      <c r="BF47" s="159">
        <f>BF111</f>
        <v>123476.9</v>
      </c>
      <c r="BG47" s="159">
        <f>BG111</f>
        <v>123476.9</v>
      </c>
      <c r="BH47" s="85"/>
      <c r="BI47" s="85"/>
    </row>
    <row r="48" spans="1:61" s="86" customFormat="1" ht="12.75">
      <c r="A48" s="155" t="s">
        <v>20</v>
      </c>
      <c r="B48" s="159">
        <f aca="true" t="shared" si="17" ref="B48:BC48">B164</f>
        <v>66282.47</v>
      </c>
      <c r="C48" s="159">
        <f t="shared" si="17"/>
        <v>82788.02</v>
      </c>
      <c r="D48" s="159">
        <f t="shared" si="17"/>
        <v>98996.52</v>
      </c>
      <c r="E48" s="159">
        <f t="shared" si="17"/>
        <v>108447.8333559</v>
      </c>
      <c r="F48" s="159">
        <f t="shared" si="17"/>
        <v>124241.76204599997</v>
      </c>
      <c r="G48" s="159">
        <f t="shared" si="17"/>
        <v>121673.45633100002</v>
      </c>
      <c r="H48" s="159">
        <f t="shared" si="17"/>
        <v>121005.306662</v>
      </c>
      <c r="I48" s="159">
        <f t="shared" si="17"/>
        <v>113042.65382200001</v>
      </c>
      <c r="J48" s="159">
        <f t="shared" si="17"/>
        <v>114616.61789000001</v>
      </c>
      <c r="K48" s="159">
        <f t="shared" si="17"/>
        <v>116406.78556049998</v>
      </c>
      <c r="L48" s="159">
        <f t="shared" si="17"/>
        <v>115239.64924999999</v>
      </c>
      <c r="M48" s="159">
        <f t="shared" si="17"/>
        <v>118583.25955599998</v>
      </c>
      <c r="N48" s="159">
        <f t="shared" si="17"/>
        <v>118285.61947499998</v>
      </c>
      <c r="O48" s="159">
        <f t="shared" si="17"/>
        <v>115559.98397999999</v>
      </c>
      <c r="P48" s="159">
        <f t="shared" si="17"/>
        <v>125807.723016</v>
      </c>
      <c r="Q48" s="159">
        <f t="shared" si="17"/>
        <v>129781.159075</v>
      </c>
      <c r="R48" s="159">
        <f t="shared" si="17"/>
        <v>129876.15</v>
      </c>
      <c r="S48" s="159">
        <f t="shared" si="17"/>
        <v>129014.26277099998</v>
      </c>
      <c r="T48" s="159">
        <f t="shared" si="17"/>
        <v>132912.84135599996</v>
      </c>
      <c r="U48" s="159">
        <f t="shared" si="17"/>
        <v>127069.52359</v>
      </c>
      <c r="V48" s="159">
        <f t="shared" si="17"/>
        <v>137458.94175000003</v>
      </c>
      <c r="W48" s="159">
        <f t="shared" si="17"/>
        <v>138936.89137</v>
      </c>
      <c r="X48" s="159">
        <f t="shared" si="17"/>
        <v>129844.33474000002</v>
      </c>
      <c r="Y48" s="159">
        <f t="shared" si="17"/>
        <v>135785.74926400004</v>
      </c>
      <c r="Z48" s="159">
        <f t="shared" si="17"/>
        <v>128962.489245</v>
      </c>
      <c r="AA48" s="159">
        <f t="shared" si="17"/>
        <v>130392.68187000003</v>
      </c>
      <c r="AB48" s="159">
        <f t="shared" si="17"/>
        <v>141053.73438200002</v>
      </c>
      <c r="AC48" s="159">
        <f t="shared" si="17"/>
        <v>143918.36723999996</v>
      </c>
      <c r="AD48" s="159">
        <f t="shared" si="17"/>
        <v>146536.652845</v>
      </c>
      <c r="AE48" s="159">
        <f t="shared" si="17"/>
        <v>144398.835492</v>
      </c>
      <c r="AF48" s="159">
        <f t="shared" si="17"/>
        <v>147141.81708000004</v>
      </c>
      <c r="AG48" s="159">
        <f t="shared" si="17"/>
        <v>149820.64888800003</v>
      </c>
      <c r="AH48" s="159">
        <f t="shared" si="17"/>
        <v>160864.910533</v>
      </c>
      <c r="AI48" s="159">
        <f t="shared" si="17"/>
        <v>162695.943824</v>
      </c>
      <c r="AJ48" s="159">
        <f t="shared" si="17"/>
        <v>157753.65556800002</v>
      </c>
      <c r="AK48" s="159">
        <f t="shared" si="17"/>
        <v>155832.76725200002</v>
      </c>
      <c r="AL48" s="159">
        <f t="shared" si="17"/>
        <v>159694.55699599997</v>
      </c>
      <c r="AM48" s="159">
        <f t="shared" si="17"/>
        <v>156182.54337700005</v>
      </c>
      <c r="AN48" s="159">
        <f t="shared" si="17"/>
        <v>161735.16198999996</v>
      </c>
      <c r="AO48" s="159">
        <f t="shared" si="17"/>
        <v>163327.66322040002</v>
      </c>
      <c r="AP48" s="159">
        <f t="shared" si="17"/>
        <v>162922.69999999998</v>
      </c>
      <c r="AQ48" s="159">
        <f t="shared" si="17"/>
        <v>155636.072512</v>
      </c>
      <c r="AR48" s="159">
        <f t="shared" si="17"/>
        <v>168750.18299999993</v>
      </c>
      <c r="AS48" s="159">
        <f t="shared" si="17"/>
        <v>163761.37970880003</v>
      </c>
      <c r="AT48" s="159">
        <f t="shared" si="17"/>
        <v>165444.01749699996</v>
      </c>
      <c r="AU48" s="159">
        <f t="shared" si="17"/>
        <v>167017.29851599995</v>
      </c>
      <c r="AV48" s="159">
        <f t="shared" si="17"/>
        <v>167940.25021530004</v>
      </c>
      <c r="AW48" s="159">
        <f t="shared" si="17"/>
        <v>167921.93616410004</v>
      </c>
      <c r="AX48" s="159">
        <f t="shared" si="17"/>
        <v>172925.41554400002</v>
      </c>
      <c r="AY48" s="159">
        <f t="shared" si="17"/>
        <v>175473.77214320007</v>
      </c>
      <c r="AZ48" s="159">
        <f t="shared" si="17"/>
        <v>190468.15492119998</v>
      </c>
      <c r="BA48" s="159">
        <f t="shared" si="17"/>
        <v>187811.47993599993</v>
      </c>
      <c r="BB48" s="159">
        <f t="shared" si="17"/>
        <v>192455.97483600004</v>
      </c>
      <c r="BC48" s="159">
        <f t="shared" si="17"/>
        <v>190847.90699760002</v>
      </c>
      <c r="BD48" s="159">
        <f>BD164</f>
        <v>187986.50934640007</v>
      </c>
      <c r="BE48" s="159">
        <f>BE164</f>
        <v>191431.0531084</v>
      </c>
      <c r="BF48" s="159">
        <f>BF164</f>
        <v>195549.9497962</v>
      </c>
      <c r="BG48" s="159">
        <f>BG164</f>
        <v>201790.07260180006</v>
      </c>
      <c r="BH48" s="85"/>
      <c r="BI48" s="85"/>
    </row>
    <row r="49" spans="1:59" ht="12.75">
      <c r="A49" s="62" t="s">
        <v>61</v>
      </c>
      <c r="B49" s="10">
        <f aca="true" t="shared" si="18" ref="B49:BD49">B51+B52</f>
        <v>12946.3792</v>
      </c>
      <c r="C49" s="10">
        <f t="shared" si="18"/>
        <v>14114.86719</v>
      </c>
      <c r="D49" s="10">
        <f t="shared" si="18"/>
        <v>15322.796839999999</v>
      </c>
      <c r="E49" s="10">
        <f t="shared" si="18"/>
        <v>15532.45185</v>
      </c>
      <c r="F49" s="10">
        <f t="shared" si="18"/>
        <v>16140.222766</v>
      </c>
      <c r="G49" s="10">
        <f t="shared" si="18"/>
        <v>15517.828856000002</v>
      </c>
      <c r="H49" s="10">
        <f t="shared" si="18"/>
        <v>15523.680061</v>
      </c>
      <c r="I49" s="10">
        <f t="shared" si="18"/>
        <v>15540.014879999999</v>
      </c>
      <c r="J49" s="10">
        <f t="shared" si="18"/>
        <v>15473.175864</v>
      </c>
      <c r="K49" s="10">
        <f t="shared" si="18"/>
        <v>17697.574285</v>
      </c>
      <c r="L49" s="10">
        <f t="shared" si="18"/>
        <v>15532.378469999998</v>
      </c>
      <c r="M49" s="10">
        <f t="shared" si="18"/>
        <v>15295.37738</v>
      </c>
      <c r="N49" s="10">
        <f t="shared" si="18"/>
        <v>15494.485467</v>
      </c>
      <c r="O49" s="10">
        <f t="shared" si="18"/>
        <v>15546.471000000001</v>
      </c>
      <c r="P49" s="10">
        <f t="shared" si="18"/>
        <v>15496.838462</v>
      </c>
      <c r="Q49" s="10">
        <f t="shared" si="18"/>
        <v>15430.75404</v>
      </c>
      <c r="R49" s="10">
        <f t="shared" si="18"/>
        <v>15798.21646</v>
      </c>
      <c r="S49" s="10">
        <f t="shared" si="18"/>
        <v>15834.199980000001</v>
      </c>
      <c r="T49" s="10">
        <f t="shared" si="18"/>
        <v>15666.530216</v>
      </c>
      <c r="U49" s="10">
        <f t="shared" si="18"/>
        <v>15699.201356</v>
      </c>
      <c r="V49" s="10">
        <f t="shared" si="18"/>
        <v>15532.705118</v>
      </c>
      <c r="W49" s="10">
        <f t="shared" si="18"/>
        <v>15492.270049999997</v>
      </c>
      <c r="X49" s="10">
        <f t="shared" si="18"/>
        <v>15502.944370000001</v>
      </c>
      <c r="Y49" s="10">
        <f t="shared" si="18"/>
        <v>15332.1263</v>
      </c>
      <c r="Z49" s="10">
        <f t="shared" si="18"/>
        <v>15244.158809999999</v>
      </c>
      <c r="AA49" s="10">
        <f t="shared" si="18"/>
        <v>15303.388197</v>
      </c>
      <c r="AB49" s="10">
        <f t="shared" si="18"/>
        <v>15034.397817</v>
      </c>
      <c r="AC49" s="10">
        <f t="shared" si="18"/>
        <v>15021.1402</v>
      </c>
      <c r="AD49" s="10">
        <f t="shared" si="18"/>
        <v>15539.485194</v>
      </c>
      <c r="AE49" s="10">
        <f t="shared" si="18"/>
        <v>14919.385736</v>
      </c>
      <c r="AF49" s="10">
        <f t="shared" si="18"/>
        <v>14932.554</v>
      </c>
      <c r="AG49" s="10">
        <f t="shared" si="18"/>
        <v>15310.166379</v>
      </c>
      <c r="AH49" s="10">
        <f t="shared" si="18"/>
        <v>15095.526452999999</v>
      </c>
      <c r="AI49" s="10">
        <f t="shared" si="18"/>
        <v>14923.99301</v>
      </c>
      <c r="AJ49" s="10">
        <f t="shared" si="18"/>
        <v>15075.143789</v>
      </c>
      <c r="AK49" s="10">
        <f t="shared" si="18"/>
        <v>14931.033748</v>
      </c>
      <c r="AL49" s="10">
        <f t="shared" si="18"/>
        <v>14949.116822</v>
      </c>
      <c r="AM49" s="10">
        <f t="shared" si="18"/>
        <v>14987.563644</v>
      </c>
      <c r="AN49" s="10">
        <f t="shared" si="18"/>
        <v>14932.24641</v>
      </c>
      <c r="AO49" s="10">
        <f t="shared" si="18"/>
        <v>14860.392441999998</v>
      </c>
      <c r="AP49" s="10">
        <f t="shared" si="18"/>
        <v>14758.789761999999</v>
      </c>
      <c r="AQ49" s="10">
        <f t="shared" si="18"/>
        <v>14556.60098</v>
      </c>
      <c r="AR49" s="10">
        <f t="shared" si="18"/>
        <v>14489.486625000001</v>
      </c>
      <c r="AS49" s="10">
        <f t="shared" si="18"/>
        <v>14523.705936</v>
      </c>
      <c r="AT49" s="10">
        <f t="shared" si="18"/>
        <v>15004.353138</v>
      </c>
      <c r="AU49" s="10">
        <f t="shared" si="18"/>
        <v>14357.526418000001</v>
      </c>
      <c r="AV49" s="10">
        <f t="shared" si="18"/>
        <v>14435.761555300001</v>
      </c>
      <c r="AW49" s="10">
        <f t="shared" si="18"/>
        <v>14253.6949977</v>
      </c>
      <c r="AX49" s="10">
        <f t="shared" si="18"/>
        <v>14459.983372</v>
      </c>
      <c r="AY49" s="10">
        <f t="shared" si="18"/>
        <v>14461.194195299999</v>
      </c>
      <c r="AZ49" s="10">
        <f t="shared" si="18"/>
        <v>14379.9979548</v>
      </c>
      <c r="BA49" s="10">
        <f t="shared" si="18"/>
        <v>14332.481183999998</v>
      </c>
      <c r="BB49" s="10">
        <f t="shared" si="18"/>
        <v>14114.077737</v>
      </c>
      <c r="BC49" s="10">
        <f t="shared" si="18"/>
        <v>14486.682076</v>
      </c>
      <c r="BD49" s="10">
        <f t="shared" si="18"/>
        <v>14618.9219008</v>
      </c>
      <c r="BE49" s="10">
        <f>BE51+BE52</f>
        <v>14484.8344084</v>
      </c>
      <c r="BF49" s="10">
        <f>BF51+BF52</f>
        <v>14383.328937400001</v>
      </c>
      <c r="BG49" s="139">
        <f>BG51+BG52</f>
        <v>14370.6659542</v>
      </c>
    </row>
    <row r="50" spans="1:59" ht="12.75">
      <c r="A50" s="21" t="s">
        <v>22</v>
      </c>
      <c r="B50" s="6"/>
      <c r="C50" s="6"/>
      <c r="D50" s="2"/>
      <c r="E50" s="2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136"/>
    </row>
    <row r="51" spans="1:59" ht="12.75">
      <c r="A51" s="21" t="s">
        <v>23</v>
      </c>
      <c r="B51" s="8">
        <f aca="true" t="shared" si="19" ref="B51:BE51">B167+B114</f>
        <v>0.5</v>
      </c>
      <c r="C51" s="8">
        <f t="shared" si="19"/>
        <v>2.5</v>
      </c>
      <c r="D51" s="8">
        <f t="shared" si="19"/>
        <v>9.9</v>
      </c>
      <c r="E51" s="8">
        <f t="shared" si="19"/>
        <v>13.9</v>
      </c>
      <c r="F51" s="8">
        <f t="shared" si="19"/>
        <v>54.6</v>
      </c>
      <c r="G51" s="8">
        <f t="shared" si="19"/>
        <v>23.47</v>
      </c>
      <c r="H51" s="8">
        <f t="shared" si="19"/>
        <v>20.77</v>
      </c>
      <c r="I51" s="8">
        <f t="shared" si="19"/>
        <v>46</v>
      </c>
      <c r="J51" s="8">
        <f t="shared" si="19"/>
        <v>21.92</v>
      </c>
      <c r="K51" s="8">
        <f t="shared" si="19"/>
        <v>23.12</v>
      </c>
      <c r="L51" s="8">
        <f t="shared" si="19"/>
        <v>46.28</v>
      </c>
      <c r="M51" s="8">
        <f t="shared" si="19"/>
        <v>19.37</v>
      </c>
      <c r="N51" s="8">
        <f t="shared" si="19"/>
        <v>18.72</v>
      </c>
      <c r="O51" s="8">
        <f t="shared" si="19"/>
        <v>39.199999999999996</v>
      </c>
      <c r="P51" s="8">
        <f t="shared" si="19"/>
        <v>13.66</v>
      </c>
      <c r="Q51" s="8">
        <f t="shared" si="19"/>
        <v>16.34</v>
      </c>
      <c r="R51" s="8">
        <f t="shared" si="19"/>
        <v>25.43</v>
      </c>
      <c r="S51" s="8">
        <f t="shared" si="19"/>
        <v>23.73</v>
      </c>
      <c r="T51" s="8">
        <f t="shared" si="19"/>
        <v>25.3</v>
      </c>
      <c r="U51" s="8">
        <f t="shared" si="19"/>
        <v>27.5</v>
      </c>
      <c r="V51" s="8">
        <f t="shared" si="19"/>
        <v>23.4</v>
      </c>
      <c r="W51" s="8">
        <f t="shared" si="19"/>
        <v>23.9</v>
      </c>
      <c r="X51" s="8">
        <f t="shared" si="19"/>
        <v>26.1</v>
      </c>
      <c r="Y51" s="8">
        <f t="shared" si="19"/>
        <v>15.3</v>
      </c>
      <c r="Z51" s="8">
        <f t="shared" si="19"/>
        <v>14.8</v>
      </c>
      <c r="AA51" s="8">
        <f t="shared" si="19"/>
        <v>25.2</v>
      </c>
      <c r="AB51" s="8">
        <f t="shared" si="19"/>
        <v>15.1</v>
      </c>
      <c r="AC51" s="8">
        <f t="shared" si="19"/>
        <v>14.6</v>
      </c>
      <c r="AD51" s="8">
        <f t="shared" si="19"/>
        <v>21.7</v>
      </c>
      <c r="AE51" s="8">
        <f t="shared" si="19"/>
        <v>15.2</v>
      </c>
      <c r="AF51" s="8">
        <f t="shared" si="19"/>
        <v>15.4</v>
      </c>
      <c r="AG51" s="8">
        <f t="shared" si="19"/>
        <v>29.6</v>
      </c>
      <c r="AH51" s="8">
        <f t="shared" si="19"/>
        <v>21.5</v>
      </c>
      <c r="AI51" s="8">
        <f t="shared" si="19"/>
        <v>18.7</v>
      </c>
      <c r="AJ51" s="8">
        <f t="shared" si="19"/>
        <v>27.7</v>
      </c>
      <c r="AK51" s="8">
        <f t="shared" si="19"/>
        <v>19.5</v>
      </c>
      <c r="AL51" s="8">
        <f t="shared" si="19"/>
        <v>22.8</v>
      </c>
      <c r="AM51" s="8">
        <f t="shared" si="19"/>
        <v>29.5</v>
      </c>
      <c r="AN51" s="8">
        <f t="shared" si="19"/>
        <v>21.5</v>
      </c>
      <c r="AO51" s="8">
        <f t="shared" si="19"/>
        <v>21.6</v>
      </c>
      <c r="AP51" s="8">
        <f t="shared" si="19"/>
        <v>25.84</v>
      </c>
      <c r="AQ51" s="8">
        <f t="shared" si="19"/>
        <v>21.939999999999998</v>
      </c>
      <c r="AR51" s="8">
        <f t="shared" si="19"/>
        <v>25</v>
      </c>
      <c r="AS51" s="8">
        <f t="shared" si="19"/>
        <v>30.54</v>
      </c>
      <c r="AT51" s="8">
        <f t="shared" si="19"/>
        <v>22.34</v>
      </c>
      <c r="AU51" s="8">
        <f t="shared" si="19"/>
        <v>24.84</v>
      </c>
      <c r="AV51" s="8">
        <f t="shared" si="19"/>
        <v>31.1</v>
      </c>
      <c r="AW51" s="8">
        <f t="shared" si="19"/>
        <v>29</v>
      </c>
      <c r="AX51" s="8">
        <f t="shared" si="19"/>
        <v>31.5</v>
      </c>
      <c r="AY51" s="8">
        <f t="shared" si="19"/>
        <v>29</v>
      </c>
      <c r="AZ51" s="8">
        <f t="shared" si="19"/>
        <v>30.2</v>
      </c>
      <c r="BA51" s="8">
        <f t="shared" si="19"/>
        <v>30.6</v>
      </c>
      <c r="BB51" s="8">
        <f t="shared" si="19"/>
        <v>17.4</v>
      </c>
      <c r="BC51" s="8">
        <f t="shared" si="19"/>
        <v>18.2</v>
      </c>
      <c r="BD51" s="8">
        <f t="shared" si="19"/>
        <v>21.2</v>
      </c>
      <c r="BE51" s="8">
        <f t="shared" si="19"/>
        <v>20.1</v>
      </c>
      <c r="BF51" s="8">
        <f>BF167+BF114</f>
        <v>18.7</v>
      </c>
      <c r="BG51" s="136">
        <f>BG167+BG114</f>
        <v>19.4</v>
      </c>
    </row>
    <row r="52" spans="1:59" ht="12.75">
      <c r="A52" s="21" t="s">
        <v>24</v>
      </c>
      <c r="B52" s="8">
        <f aca="true" t="shared" si="20" ref="B52:BE52">B115+B168</f>
        <v>12945.8792</v>
      </c>
      <c r="C52" s="8">
        <f t="shared" si="20"/>
        <v>14112.36719</v>
      </c>
      <c r="D52" s="8">
        <f t="shared" si="20"/>
        <v>15312.89684</v>
      </c>
      <c r="E52" s="8">
        <f t="shared" si="20"/>
        <v>15518.55185</v>
      </c>
      <c r="F52" s="8">
        <f t="shared" si="20"/>
        <v>16085.622766</v>
      </c>
      <c r="G52" s="8">
        <f t="shared" si="20"/>
        <v>15494.358856000003</v>
      </c>
      <c r="H52" s="8">
        <f t="shared" si="20"/>
        <v>15502.910060999999</v>
      </c>
      <c r="I52" s="8">
        <f t="shared" si="20"/>
        <v>15494.014879999999</v>
      </c>
      <c r="J52" s="8">
        <f t="shared" si="20"/>
        <v>15451.255864</v>
      </c>
      <c r="K52" s="8">
        <f t="shared" si="20"/>
        <v>17674.454285</v>
      </c>
      <c r="L52" s="8">
        <f t="shared" si="20"/>
        <v>15486.098469999997</v>
      </c>
      <c r="M52" s="8">
        <f t="shared" si="20"/>
        <v>15276.00738</v>
      </c>
      <c r="N52" s="8">
        <f t="shared" si="20"/>
        <v>15475.765467000001</v>
      </c>
      <c r="O52" s="8">
        <f t="shared" si="20"/>
        <v>15507.271</v>
      </c>
      <c r="P52" s="8">
        <f t="shared" si="20"/>
        <v>15483.178462</v>
      </c>
      <c r="Q52" s="8">
        <f t="shared" si="20"/>
        <v>15414.41404</v>
      </c>
      <c r="R52" s="8">
        <f t="shared" si="20"/>
        <v>15772.78646</v>
      </c>
      <c r="S52" s="8">
        <f t="shared" si="20"/>
        <v>15810.469980000002</v>
      </c>
      <c r="T52" s="8">
        <f t="shared" si="20"/>
        <v>15641.230216</v>
      </c>
      <c r="U52" s="8">
        <f t="shared" si="20"/>
        <v>15671.701356</v>
      </c>
      <c r="V52" s="8">
        <f t="shared" si="20"/>
        <v>15509.305118</v>
      </c>
      <c r="W52" s="8">
        <f t="shared" si="20"/>
        <v>15468.370049999998</v>
      </c>
      <c r="X52" s="8">
        <f t="shared" si="20"/>
        <v>15476.84437</v>
      </c>
      <c r="Y52" s="8">
        <f t="shared" si="20"/>
        <v>15316.8263</v>
      </c>
      <c r="Z52" s="8">
        <f t="shared" si="20"/>
        <v>15229.35881</v>
      </c>
      <c r="AA52" s="8">
        <f t="shared" si="20"/>
        <v>15278.188197</v>
      </c>
      <c r="AB52" s="8">
        <f t="shared" si="20"/>
        <v>15019.297816999999</v>
      </c>
      <c r="AC52" s="8">
        <f t="shared" si="20"/>
        <v>15006.5402</v>
      </c>
      <c r="AD52" s="8">
        <f t="shared" si="20"/>
        <v>15517.785194</v>
      </c>
      <c r="AE52" s="8">
        <f t="shared" si="20"/>
        <v>14904.185736</v>
      </c>
      <c r="AF52" s="8">
        <f t="shared" si="20"/>
        <v>14917.154</v>
      </c>
      <c r="AG52" s="8">
        <f t="shared" si="20"/>
        <v>15280.566379</v>
      </c>
      <c r="AH52" s="8">
        <f t="shared" si="20"/>
        <v>15074.026452999999</v>
      </c>
      <c r="AI52" s="8">
        <f t="shared" si="20"/>
        <v>14905.29301</v>
      </c>
      <c r="AJ52" s="8">
        <f t="shared" si="20"/>
        <v>15047.443788999999</v>
      </c>
      <c r="AK52" s="8">
        <f t="shared" si="20"/>
        <v>14911.533748</v>
      </c>
      <c r="AL52" s="8">
        <f t="shared" si="20"/>
        <v>14926.316822</v>
      </c>
      <c r="AM52" s="8">
        <f t="shared" si="20"/>
        <v>14958.063644</v>
      </c>
      <c r="AN52" s="8">
        <f t="shared" si="20"/>
        <v>14910.74641</v>
      </c>
      <c r="AO52" s="8">
        <f t="shared" si="20"/>
        <v>14838.792441999998</v>
      </c>
      <c r="AP52" s="8">
        <f t="shared" si="20"/>
        <v>14732.949761999998</v>
      </c>
      <c r="AQ52" s="8">
        <f t="shared" si="20"/>
        <v>14534.660979999999</v>
      </c>
      <c r="AR52" s="8">
        <f t="shared" si="20"/>
        <v>14464.486625000001</v>
      </c>
      <c r="AS52" s="8">
        <f t="shared" si="20"/>
        <v>14493.165936</v>
      </c>
      <c r="AT52" s="8">
        <f t="shared" si="20"/>
        <v>14982.013138</v>
      </c>
      <c r="AU52" s="8">
        <f t="shared" si="20"/>
        <v>14332.686418000001</v>
      </c>
      <c r="AV52" s="8">
        <f t="shared" si="20"/>
        <v>14404.661555300001</v>
      </c>
      <c r="AW52" s="8">
        <f t="shared" si="20"/>
        <v>14224.6949977</v>
      </c>
      <c r="AX52" s="8">
        <f t="shared" si="20"/>
        <v>14428.483372</v>
      </c>
      <c r="AY52" s="8">
        <f t="shared" si="20"/>
        <v>14432.194195299999</v>
      </c>
      <c r="AZ52" s="8">
        <f t="shared" si="20"/>
        <v>14349.797954799998</v>
      </c>
      <c r="BA52" s="8">
        <f t="shared" si="20"/>
        <v>14301.881183999998</v>
      </c>
      <c r="BB52" s="8">
        <f t="shared" si="20"/>
        <v>14096.677737</v>
      </c>
      <c r="BC52" s="8">
        <f t="shared" si="20"/>
        <v>14468.482075999998</v>
      </c>
      <c r="BD52" s="8">
        <f t="shared" si="20"/>
        <v>14597.7219008</v>
      </c>
      <c r="BE52" s="8">
        <f t="shared" si="20"/>
        <v>14464.7344084</v>
      </c>
      <c r="BF52" s="8">
        <f>BF115+BF168</f>
        <v>14364.6289374</v>
      </c>
      <c r="BG52" s="136">
        <f>BG115+BG168</f>
        <v>14351.2659542</v>
      </c>
    </row>
    <row r="53" spans="1:59" ht="12.75">
      <c r="A53" s="21" t="s">
        <v>25</v>
      </c>
      <c r="B53" s="117">
        <f aca="true" t="shared" si="21" ref="B53:BE53">B54+B56</f>
        <v>12946.399199999998</v>
      </c>
      <c r="C53" s="117">
        <f t="shared" si="21"/>
        <v>14114.81719</v>
      </c>
      <c r="D53" s="117">
        <f t="shared" si="21"/>
        <v>15322.81684</v>
      </c>
      <c r="E53" s="117">
        <f t="shared" si="21"/>
        <v>15532.471849999998</v>
      </c>
      <c r="F53" s="117">
        <f t="shared" si="21"/>
        <v>16140.222765999999</v>
      </c>
      <c r="G53" s="117">
        <f t="shared" si="21"/>
        <v>15517.828856</v>
      </c>
      <c r="H53" s="117">
        <f t="shared" si="21"/>
        <v>15523.680061</v>
      </c>
      <c r="I53" s="117">
        <f t="shared" si="21"/>
        <v>15540.01488</v>
      </c>
      <c r="J53" s="117">
        <f t="shared" si="21"/>
        <v>15473.175864</v>
      </c>
      <c r="K53" s="117">
        <f t="shared" si="21"/>
        <v>17697.574285</v>
      </c>
      <c r="L53" s="117">
        <f t="shared" si="21"/>
        <v>15532.378469999998</v>
      </c>
      <c r="M53" s="117">
        <f t="shared" si="21"/>
        <v>15295.377380000002</v>
      </c>
      <c r="N53" s="117">
        <f t="shared" si="21"/>
        <v>15494.485467</v>
      </c>
      <c r="O53" s="117">
        <f t="shared" si="21"/>
        <v>15546.471000000001</v>
      </c>
      <c r="P53" s="117">
        <f t="shared" si="21"/>
        <v>15496.838462</v>
      </c>
      <c r="Q53" s="117">
        <f t="shared" si="21"/>
        <v>15430.75404</v>
      </c>
      <c r="R53" s="117">
        <f t="shared" si="21"/>
        <v>15798.216460000001</v>
      </c>
      <c r="S53" s="117">
        <f t="shared" si="21"/>
        <v>15834.19998</v>
      </c>
      <c r="T53" s="117">
        <f t="shared" si="21"/>
        <v>15666.530216</v>
      </c>
      <c r="U53" s="117">
        <f t="shared" si="21"/>
        <v>15699.201356</v>
      </c>
      <c r="V53" s="117">
        <f t="shared" si="21"/>
        <v>15532.705118</v>
      </c>
      <c r="W53" s="117">
        <f t="shared" si="21"/>
        <v>15492.27005</v>
      </c>
      <c r="X53" s="117">
        <f t="shared" si="21"/>
        <v>15502.944370000001</v>
      </c>
      <c r="Y53" s="117">
        <f t="shared" si="21"/>
        <v>15332.1263</v>
      </c>
      <c r="Z53" s="117">
        <f t="shared" si="21"/>
        <v>15244.15881</v>
      </c>
      <c r="AA53" s="117">
        <f t="shared" si="21"/>
        <v>15303.388197</v>
      </c>
      <c r="AB53" s="117">
        <f t="shared" si="21"/>
        <v>15034.397817</v>
      </c>
      <c r="AC53" s="117">
        <f t="shared" si="21"/>
        <v>15021.140200000002</v>
      </c>
      <c r="AD53" s="117">
        <f t="shared" si="21"/>
        <v>15539.485194</v>
      </c>
      <c r="AE53" s="117">
        <f t="shared" si="21"/>
        <v>14919.385736</v>
      </c>
      <c r="AF53" s="117">
        <f t="shared" si="21"/>
        <v>14932.554</v>
      </c>
      <c r="AG53" s="117">
        <f t="shared" si="21"/>
        <v>15310.166378999998</v>
      </c>
      <c r="AH53" s="117">
        <f t="shared" si="21"/>
        <v>15095.526452999999</v>
      </c>
      <c r="AI53" s="117">
        <f t="shared" si="21"/>
        <v>14923.99301</v>
      </c>
      <c r="AJ53" s="117">
        <f t="shared" si="21"/>
        <v>15075.143789</v>
      </c>
      <c r="AK53" s="117">
        <f t="shared" si="21"/>
        <v>14931.033748</v>
      </c>
      <c r="AL53" s="117">
        <f t="shared" si="21"/>
        <v>14949.116822</v>
      </c>
      <c r="AM53" s="117">
        <f t="shared" si="21"/>
        <v>14987.563644</v>
      </c>
      <c r="AN53" s="117">
        <f t="shared" si="21"/>
        <v>14932.24641</v>
      </c>
      <c r="AO53" s="117">
        <f t="shared" si="21"/>
        <v>14860.392442</v>
      </c>
      <c r="AP53" s="117">
        <f t="shared" si="21"/>
        <v>14758.789761999999</v>
      </c>
      <c r="AQ53" s="117">
        <f t="shared" si="21"/>
        <v>14556.60098</v>
      </c>
      <c r="AR53" s="117">
        <f t="shared" si="21"/>
        <v>14489.486625</v>
      </c>
      <c r="AS53" s="117">
        <f t="shared" si="21"/>
        <v>14523.705936</v>
      </c>
      <c r="AT53" s="117">
        <f t="shared" si="21"/>
        <v>15004.353137999999</v>
      </c>
      <c r="AU53" s="117">
        <f t="shared" si="21"/>
        <v>14357.526418000001</v>
      </c>
      <c r="AV53" s="117">
        <f t="shared" si="21"/>
        <v>14435.7615553</v>
      </c>
      <c r="AW53" s="117">
        <f t="shared" si="21"/>
        <v>14253.6949977</v>
      </c>
      <c r="AX53" s="117">
        <f t="shared" si="21"/>
        <v>14459.983371999999</v>
      </c>
      <c r="AY53" s="117">
        <f t="shared" si="21"/>
        <v>14461.194195299999</v>
      </c>
      <c r="AZ53" s="117">
        <f t="shared" si="21"/>
        <v>14379.9979548</v>
      </c>
      <c r="BA53" s="117">
        <f t="shared" si="21"/>
        <v>14332.481184</v>
      </c>
      <c r="BB53" s="117">
        <f t="shared" si="21"/>
        <v>14114.077737</v>
      </c>
      <c r="BC53" s="117">
        <f t="shared" si="21"/>
        <v>14486.682076</v>
      </c>
      <c r="BD53" s="117">
        <f t="shared" si="21"/>
        <v>14618.9219008</v>
      </c>
      <c r="BE53" s="117">
        <f t="shared" si="21"/>
        <v>14484.8344084</v>
      </c>
      <c r="BF53" s="117">
        <f>BF54+BF56</f>
        <v>14383.328937399998</v>
      </c>
      <c r="BG53" s="140">
        <f>BG54+BG56</f>
        <v>14370.6659542</v>
      </c>
    </row>
    <row r="54" spans="1:59" ht="12.75">
      <c r="A54" s="21" t="s">
        <v>27</v>
      </c>
      <c r="B54" s="8">
        <f aca="true" t="shared" si="22" ref="B54:BG57">B117+B170</f>
        <v>3003.09744</v>
      </c>
      <c r="C54" s="8">
        <f t="shared" si="22"/>
        <v>3152.55222</v>
      </c>
      <c r="D54" s="8">
        <f t="shared" si="22"/>
        <v>3148.15175</v>
      </c>
      <c r="E54" s="8">
        <f t="shared" si="22"/>
        <v>3117.4597299999996</v>
      </c>
      <c r="F54" s="8">
        <f t="shared" si="22"/>
        <v>3072.277176</v>
      </c>
      <c r="G54" s="8">
        <f t="shared" si="22"/>
        <v>3060.329256</v>
      </c>
      <c r="H54" s="8">
        <f t="shared" si="22"/>
        <v>3075.402661</v>
      </c>
      <c r="I54" s="8">
        <f t="shared" si="22"/>
        <v>3035.628702</v>
      </c>
      <c r="J54" s="8">
        <f t="shared" si="22"/>
        <v>3032.8603439999997</v>
      </c>
      <c r="K54" s="8">
        <f t="shared" si="22"/>
        <v>5256.211934999999</v>
      </c>
      <c r="L54" s="8">
        <f t="shared" si="22"/>
        <v>3035.3477199999998</v>
      </c>
      <c r="M54" s="8">
        <f t="shared" si="22"/>
        <v>3033.6288799999998</v>
      </c>
      <c r="N54" s="8">
        <f t="shared" si="22"/>
        <v>3033.6274670000003</v>
      </c>
      <c r="O54" s="8">
        <f t="shared" si="22"/>
        <v>3024.1549800000003</v>
      </c>
      <c r="P54" s="8">
        <f t="shared" si="22"/>
        <v>3023.852462</v>
      </c>
      <c r="Q54" s="8">
        <f t="shared" si="22"/>
        <v>3015.22684</v>
      </c>
      <c r="R54" s="8">
        <f t="shared" si="22"/>
        <v>2985.81646</v>
      </c>
      <c r="S54" s="8">
        <f t="shared" si="22"/>
        <v>2995.7067199999997</v>
      </c>
      <c r="T54" s="8">
        <f t="shared" si="22"/>
        <v>2991.536096</v>
      </c>
      <c r="U54" s="8">
        <f t="shared" si="22"/>
        <v>2983.4854560000003</v>
      </c>
      <c r="V54" s="8">
        <f t="shared" si="22"/>
        <v>2970.602798</v>
      </c>
      <c r="W54" s="8">
        <f t="shared" si="22"/>
        <v>2966.33015</v>
      </c>
      <c r="X54" s="8">
        <f t="shared" si="22"/>
        <v>2959.9387699999997</v>
      </c>
      <c r="Y54" s="8">
        <f t="shared" si="22"/>
        <v>2959.82574</v>
      </c>
      <c r="Z54" s="8">
        <f t="shared" si="22"/>
        <v>2943.70726</v>
      </c>
      <c r="AA54" s="8">
        <f t="shared" si="22"/>
        <v>2944.670067</v>
      </c>
      <c r="AB54" s="8">
        <f t="shared" si="22"/>
        <v>2944.276322</v>
      </c>
      <c r="AC54" s="8">
        <f t="shared" si="22"/>
        <v>2938.02286</v>
      </c>
      <c r="AD54" s="8">
        <f t="shared" si="22"/>
        <v>2930.538039</v>
      </c>
      <c r="AE54" s="8">
        <f t="shared" si="22"/>
        <v>2928.724356</v>
      </c>
      <c r="AF54" s="8">
        <f t="shared" si="22"/>
        <v>2915.6724000000004</v>
      </c>
      <c r="AG54" s="8">
        <f t="shared" si="22"/>
        <v>2913.5152669999998</v>
      </c>
      <c r="AH54" s="8">
        <f t="shared" si="22"/>
        <v>2908.234048</v>
      </c>
      <c r="AI54" s="8">
        <f t="shared" si="22"/>
        <v>2898.906942</v>
      </c>
      <c r="AJ54" s="8">
        <f t="shared" si="22"/>
        <v>2893.699357</v>
      </c>
      <c r="AK54" s="8">
        <f t="shared" si="22"/>
        <v>2893.3127</v>
      </c>
      <c r="AL54" s="8">
        <f t="shared" si="22"/>
        <v>2883.8143579999996</v>
      </c>
      <c r="AM54" s="8">
        <f t="shared" si="22"/>
        <v>2881.257238</v>
      </c>
      <c r="AN54" s="8">
        <f t="shared" si="22"/>
        <v>2877.46688</v>
      </c>
      <c r="AO54" s="8">
        <f t="shared" si="22"/>
        <v>2873.13375</v>
      </c>
      <c r="AP54" s="8">
        <f t="shared" si="22"/>
        <v>2856.98554</v>
      </c>
      <c r="AQ54" s="8">
        <f t="shared" si="22"/>
        <v>2854.514874</v>
      </c>
      <c r="AR54" s="8">
        <f t="shared" si="22"/>
        <v>2850.44325</v>
      </c>
      <c r="AS54" s="8">
        <f t="shared" si="22"/>
        <v>2845.850736</v>
      </c>
      <c r="AT54" s="8">
        <f t="shared" si="22"/>
        <v>3399.007329</v>
      </c>
      <c r="AU54" s="8">
        <f t="shared" si="22"/>
        <v>2833.306265</v>
      </c>
      <c r="AV54" s="8">
        <f t="shared" si="22"/>
        <v>2832.019483</v>
      </c>
      <c r="AW54" s="8">
        <f t="shared" si="22"/>
        <v>2828.259449</v>
      </c>
      <c r="AX54" s="8">
        <f t="shared" si="22"/>
        <v>2821.10056</v>
      </c>
      <c r="AY54" s="8">
        <f t="shared" si="22"/>
        <v>2816.338187</v>
      </c>
      <c r="AZ54" s="8">
        <f t="shared" si="22"/>
        <v>2814.617524</v>
      </c>
      <c r="BA54" s="8">
        <f t="shared" si="22"/>
        <v>2810.2692799999995</v>
      </c>
      <c r="BB54" s="8">
        <f t="shared" si="22"/>
        <v>2797.57507</v>
      </c>
      <c r="BC54" s="8">
        <f t="shared" si="22"/>
        <v>2796.299524</v>
      </c>
      <c r="BD54" s="8">
        <f t="shared" si="22"/>
        <v>2788.465984</v>
      </c>
      <c r="BE54" s="8">
        <f t="shared" si="22"/>
        <v>2781.852464</v>
      </c>
      <c r="BF54" s="8">
        <f t="shared" si="22"/>
        <v>2780.491346</v>
      </c>
      <c r="BG54" s="136">
        <f t="shared" si="22"/>
        <v>2808.33517</v>
      </c>
    </row>
    <row r="55" spans="1:59" ht="12.75">
      <c r="A55" s="60" t="s">
        <v>11</v>
      </c>
      <c r="B55" s="8">
        <f t="shared" si="22"/>
        <v>0</v>
      </c>
      <c r="C55" s="8">
        <f t="shared" si="22"/>
        <v>0</v>
      </c>
      <c r="D55" s="8">
        <f t="shared" si="22"/>
        <v>0</v>
      </c>
      <c r="E55" s="8">
        <f t="shared" si="22"/>
        <v>0</v>
      </c>
      <c r="F55" s="8">
        <f t="shared" si="22"/>
        <v>2</v>
      </c>
      <c r="G55" s="8">
        <f t="shared" si="22"/>
        <v>2</v>
      </c>
      <c r="H55" s="8">
        <f t="shared" si="22"/>
        <v>2.3</v>
      </c>
      <c r="I55" s="8">
        <f t="shared" si="22"/>
        <v>2.3</v>
      </c>
      <c r="J55" s="8">
        <f t="shared" si="22"/>
        <v>2.3</v>
      </c>
      <c r="K55" s="8">
        <f t="shared" si="22"/>
        <v>2.53</v>
      </c>
      <c r="L55" s="8">
        <f t="shared" si="22"/>
        <v>2.53</v>
      </c>
      <c r="M55" s="8">
        <f t="shared" si="22"/>
        <v>2.46</v>
      </c>
      <c r="N55" s="8">
        <f t="shared" si="22"/>
        <v>2.43</v>
      </c>
      <c r="O55" s="8">
        <f t="shared" si="22"/>
        <v>2.1</v>
      </c>
      <c r="P55" s="8">
        <f t="shared" si="22"/>
        <v>2.07</v>
      </c>
      <c r="Q55" s="8">
        <f t="shared" si="22"/>
        <v>2.03</v>
      </c>
      <c r="R55" s="8">
        <f t="shared" si="22"/>
        <v>2.03</v>
      </c>
      <c r="S55" s="8">
        <f t="shared" si="22"/>
        <v>2.03</v>
      </c>
      <c r="T55" s="8">
        <f t="shared" si="22"/>
        <v>2</v>
      </c>
      <c r="U55" s="8">
        <f t="shared" si="22"/>
        <v>2</v>
      </c>
      <c r="V55" s="8">
        <f t="shared" si="22"/>
        <v>2</v>
      </c>
      <c r="W55" s="8">
        <f t="shared" si="22"/>
        <v>2</v>
      </c>
      <c r="X55" s="8">
        <f t="shared" si="22"/>
        <v>2</v>
      </c>
      <c r="Y55" s="8">
        <f t="shared" si="22"/>
        <v>2</v>
      </c>
      <c r="Z55" s="8">
        <f t="shared" si="22"/>
        <v>2</v>
      </c>
      <c r="AA55" s="8">
        <f t="shared" si="22"/>
        <v>2</v>
      </c>
      <c r="AB55" s="8">
        <f t="shared" si="22"/>
        <v>2</v>
      </c>
      <c r="AC55" s="8">
        <f t="shared" si="22"/>
        <v>2</v>
      </c>
      <c r="AD55" s="8">
        <f t="shared" si="22"/>
        <v>2</v>
      </c>
      <c r="AE55" s="8">
        <f t="shared" si="22"/>
        <v>2</v>
      </c>
      <c r="AF55" s="8">
        <f t="shared" si="22"/>
        <v>2</v>
      </c>
      <c r="AG55" s="8">
        <f t="shared" si="22"/>
        <v>2</v>
      </c>
      <c r="AH55" s="8">
        <f t="shared" si="22"/>
        <v>2</v>
      </c>
      <c r="AI55" s="8">
        <f t="shared" si="22"/>
        <v>0</v>
      </c>
      <c r="AJ55" s="8">
        <f t="shared" si="22"/>
        <v>0</v>
      </c>
      <c r="AK55" s="8">
        <f t="shared" si="22"/>
        <v>0</v>
      </c>
      <c r="AL55" s="8">
        <f t="shared" si="22"/>
        <v>0</v>
      </c>
      <c r="AM55" s="8">
        <f t="shared" si="22"/>
        <v>0</v>
      </c>
      <c r="AN55" s="8">
        <f t="shared" si="22"/>
        <v>0</v>
      </c>
      <c r="AO55" s="8">
        <f t="shared" si="22"/>
        <v>0</v>
      </c>
      <c r="AP55" s="8">
        <f t="shared" si="22"/>
        <v>0.04</v>
      </c>
      <c r="AQ55" s="8">
        <f t="shared" si="22"/>
        <v>0.04</v>
      </c>
      <c r="AR55" s="8">
        <f t="shared" si="22"/>
        <v>0</v>
      </c>
      <c r="AS55" s="8">
        <f t="shared" si="22"/>
        <v>0.04</v>
      </c>
      <c r="AT55" s="8">
        <f t="shared" si="22"/>
        <v>0.04</v>
      </c>
      <c r="AU55" s="8">
        <f t="shared" si="22"/>
        <v>0.04</v>
      </c>
      <c r="AV55" s="8">
        <f t="shared" si="22"/>
        <v>0</v>
      </c>
      <c r="AW55" s="8">
        <f t="shared" si="22"/>
        <v>0</v>
      </c>
      <c r="AX55" s="8">
        <f t="shared" si="22"/>
        <v>0</v>
      </c>
      <c r="AY55" s="8">
        <f t="shared" si="22"/>
        <v>0</v>
      </c>
      <c r="AZ55" s="8">
        <f t="shared" si="22"/>
        <v>0</v>
      </c>
      <c r="BA55" s="8">
        <f t="shared" si="22"/>
        <v>0</v>
      </c>
      <c r="BB55" s="8">
        <f t="shared" si="22"/>
        <v>0</v>
      </c>
      <c r="BC55" s="8">
        <f t="shared" si="22"/>
        <v>0</v>
      </c>
      <c r="BD55" s="8">
        <f t="shared" si="22"/>
        <v>0</v>
      </c>
      <c r="BE55" s="8">
        <f t="shared" si="22"/>
        <v>0</v>
      </c>
      <c r="BF55" s="8">
        <f t="shared" si="22"/>
        <v>0</v>
      </c>
      <c r="BG55" s="136">
        <f t="shared" si="22"/>
        <v>0</v>
      </c>
    </row>
    <row r="56" spans="1:59" ht="12.75">
      <c r="A56" s="21" t="s">
        <v>28</v>
      </c>
      <c r="B56" s="8">
        <f t="shared" si="22"/>
        <v>9943.301759999998</v>
      </c>
      <c r="C56" s="8">
        <f t="shared" si="22"/>
        <v>10962.26497</v>
      </c>
      <c r="D56" s="8">
        <f t="shared" si="22"/>
        <v>12174.66509</v>
      </c>
      <c r="E56" s="8">
        <f t="shared" si="22"/>
        <v>12415.01212</v>
      </c>
      <c r="F56" s="8">
        <f t="shared" si="22"/>
        <v>13067.94559</v>
      </c>
      <c r="G56" s="8">
        <f t="shared" si="22"/>
        <v>12457.499600000001</v>
      </c>
      <c r="H56" s="8">
        <f t="shared" si="22"/>
        <v>12448.277399999999</v>
      </c>
      <c r="I56" s="8">
        <f t="shared" si="22"/>
        <v>12504.386178</v>
      </c>
      <c r="J56" s="8">
        <f t="shared" si="22"/>
        <v>12440.31552</v>
      </c>
      <c r="K56" s="8">
        <f t="shared" si="22"/>
        <v>12441.36235</v>
      </c>
      <c r="L56" s="8">
        <f t="shared" si="22"/>
        <v>12497.030749999998</v>
      </c>
      <c r="M56" s="8">
        <f t="shared" si="22"/>
        <v>12261.748500000002</v>
      </c>
      <c r="N56" s="8">
        <f t="shared" si="22"/>
        <v>12460.858</v>
      </c>
      <c r="O56" s="8">
        <f t="shared" si="22"/>
        <v>12522.31602</v>
      </c>
      <c r="P56" s="8">
        <f t="shared" si="22"/>
        <v>12472.986</v>
      </c>
      <c r="Q56" s="8">
        <f t="shared" si="22"/>
        <v>12415.5272</v>
      </c>
      <c r="R56" s="8">
        <f t="shared" si="22"/>
        <v>12812.400000000001</v>
      </c>
      <c r="S56" s="8">
        <f t="shared" si="22"/>
        <v>12838.49326</v>
      </c>
      <c r="T56" s="8">
        <f t="shared" si="22"/>
        <v>12674.99412</v>
      </c>
      <c r="U56" s="8">
        <f t="shared" si="22"/>
        <v>12715.7159</v>
      </c>
      <c r="V56" s="8">
        <f t="shared" si="22"/>
        <v>12562.10232</v>
      </c>
      <c r="W56" s="8">
        <f t="shared" si="22"/>
        <v>12525.9399</v>
      </c>
      <c r="X56" s="8">
        <f t="shared" si="22"/>
        <v>12543.0056</v>
      </c>
      <c r="Y56" s="8">
        <f t="shared" si="22"/>
        <v>12372.30056</v>
      </c>
      <c r="Z56" s="8">
        <f t="shared" si="22"/>
        <v>12300.45155</v>
      </c>
      <c r="AA56" s="8">
        <f t="shared" si="22"/>
        <v>12358.71813</v>
      </c>
      <c r="AB56" s="8">
        <f t="shared" si="22"/>
        <v>12090.121495</v>
      </c>
      <c r="AC56" s="8">
        <f t="shared" si="22"/>
        <v>12083.11734</v>
      </c>
      <c r="AD56" s="8">
        <f t="shared" si="22"/>
        <v>12608.947155</v>
      </c>
      <c r="AE56" s="8">
        <f t="shared" si="22"/>
        <v>11990.66138</v>
      </c>
      <c r="AF56" s="8">
        <f t="shared" si="22"/>
        <v>12016.8816</v>
      </c>
      <c r="AG56" s="8">
        <f t="shared" si="22"/>
        <v>12396.651112</v>
      </c>
      <c r="AH56" s="8">
        <f t="shared" si="22"/>
        <v>12187.292404999998</v>
      </c>
      <c r="AI56" s="8">
        <f t="shared" si="22"/>
        <v>12025.086068</v>
      </c>
      <c r="AJ56" s="8">
        <f t="shared" si="22"/>
        <v>12181.444432</v>
      </c>
      <c r="AK56" s="8">
        <f t="shared" si="22"/>
        <v>12037.721048</v>
      </c>
      <c r="AL56" s="8">
        <f t="shared" si="22"/>
        <v>12065.302464</v>
      </c>
      <c r="AM56" s="8">
        <f t="shared" si="22"/>
        <v>12106.306406</v>
      </c>
      <c r="AN56" s="8">
        <f t="shared" si="22"/>
        <v>12054.77953</v>
      </c>
      <c r="AO56" s="8">
        <f t="shared" si="22"/>
        <v>11987.258692</v>
      </c>
      <c r="AP56" s="8">
        <f t="shared" si="22"/>
        <v>11901.804221999999</v>
      </c>
      <c r="AQ56" s="8">
        <f t="shared" si="22"/>
        <v>11702.086105999999</v>
      </c>
      <c r="AR56" s="8">
        <f t="shared" si="22"/>
        <v>11639.043375</v>
      </c>
      <c r="AS56" s="8">
        <f t="shared" si="22"/>
        <v>11677.8552</v>
      </c>
      <c r="AT56" s="8">
        <f t="shared" si="22"/>
        <v>11605.345808999999</v>
      </c>
      <c r="AU56" s="8">
        <f t="shared" si="22"/>
        <v>11524.220153</v>
      </c>
      <c r="AV56" s="8">
        <f t="shared" si="22"/>
        <v>11603.7420723</v>
      </c>
      <c r="AW56" s="8">
        <f t="shared" si="22"/>
        <v>11425.435548700001</v>
      </c>
      <c r="AX56" s="8">
        <f t="shared" si="22"/>
        <v>11638.882812</v>
      </c>
      <c r="AY56" s="8">
        <f t="shared" si="22"/>
        <v>11644.8560083</v>
      </c>
      <c r="AZ56" s="8">
        <f t="shared" si="22"/>
        <v>11565.3804308</v>
      </c>
      <c r="BA56" s="8">
        <f t="shared" si="22"/>
        <v>11522.211904</v>
      </c>
      <c r="BB56" s="8">
        <f t="shared" si="22"/>
        <v>11316.502667</v>
      </c>
      <c r="BC56" s="8">
        <f t="shared" si="22"/>
        <v>11690.382552</v>
      </c>
      <c r="BD56" s="8">
        <f t="shared" si="22"/>
        <v>11830.4559168</v>
      </c>
      <c r="BE56" s="8">
        <f t="shared" si="22"/>
        <v>11702.9819444</v>
      </c>
      <c r="BF56" s="8">
        <f t="shared" si="22"/>
        <v>11602.837591399999</v>
      </c>
      <c r="BG56" s="136">
        <f t="shared" si="22"/>
        <v>11562.3307842</v>
      </c>
    </row>
    <row r="57" spans="1:59" ht="12.75">
      <c r="A57" s="60" t="s">
        <v>11</v>
      </c>
      <c r="B57" s="8">
        <f t="shared" si="22"/>
        <v>0.5</v>
      </c>
      <c r="C57" s="8">
        <f t="shared" si="22"/>
        <v>2.5</v>
      </c>
      <c r="D57" s="8">
        <f t="shared" si="22"/>
        <v>9.9</v>
      </c>
      <c r="E57" s="8">
        <f t="shared" si="22"/>
        <v>13.9</v>
      </c>
      <c r="F57" s="8">
        <f t="shared" si="22"/>
        <v>52.6</v>
      </c>
      <c r="G57" s="8">
        <f t="shared" si="22"/>
        <v>21.47</v>
      </c>
      <c r="H57" s="8">
        <f t="shared" si="22"/>
        <v>18.47</v>
      </c>
      <c r="I57" s="8">
        <f t="shared" si="22"/>
        <v>43.7</v>
      </c>
      <c r="J57" s="8">
        <f t="shared" si="22"/>
        <v>19.62</v>
      </c>
      <c r="K57" s="8">
        <f t="shared" si="22"/>
        <v>20.59</v>
      </c>
      <c r="L57" s="8">
        <f t="shared" si="22"/>
        <v>43.75</v>
      </c>
      <c r="M57" s="8">
        <f t="shared" si="22"/>
        <v>16.91</v>
      </c>
      <c r="N57" s="8">
        <f t="shared" si="22"/>
        <v>16.29</v>
      </c>
      <c r="O57" s="8">
        <f t="shared" si="22"/>
        <v>37.099999999999994</v>
      </c>
      <c r="P57" s="8">
        <f t="shared" si="22"/>
        <v>11.59</v>
      </c>
      <c r="Q57" s="8">
        <f t="shared" si="22"/>
        <v>14.31</v>
      </c>
      <c r="R57" s="8">
        <f t="shared" si="22"/>
        <v>23.4</v>
      </c>
      <c r="S57" s="8">
        <f t="shared" si="22"/>
        <v>21.7</v>
      </c>
      <c r="T57" s="8">
        <f t="shared" si="22"/>
        <v>23.3</v>
      </c>
      <c r="U57" s="8">
        <f t="shared" si="22"/>
        <v>25.5</v>
      </c>
      <c r="V57" s="8">
        <f t="shared" si="22"/>
        <v>21.4</v>
      </c>
      <c r="W57" s="8">
        <f t="shared" si="22"/>
        <v>21.9</v>
      </c>
      <c r="X57" s="8">
        <f t="shared" si="22"/>
        <v>24.1</v>
      </c>
      <c r="Y57" s="8">
        <f t="shared" si="22"/>
        <v>13.3</v>
      </c>
      <c r="Z57" s="8">
        <f t="shared" si="22"/>
        <v>12.8</v>
      </c>
      <c r="AA57" s="8">
        <f t="shared" si="22"/>
        <v>23.2</v>
      </c>
      <c r="AB57" s="8">
        <f t="shared" si="22"/>
        <v>13.1</v>
      </c>
      <c r="AC57" s="8">
        <f t="shared" si="22"/>
        <v>12.6</v>
      </c>
      <c r="AD57" s="8">
        <f t="shared" si="22"/>
        <v>19.7</v>
      </c>
      <c r="AE57" s="8">
        <f t="shared" si="22"/>
        <v>13.2</v>
      </c>
      <c r="AF57" s="8">
        <f t="shared" si="22"/>
        <v>13.4</v>
      </c>
      <c r="AG57" s="8">
        <f t="shared" si="22"/>
        <v>27.6</v>
      </c>
      <c r="AH57" s="8">
        <f t="shared" si="22"/>
        <v>19.5</v>
      </c>
      <c r="AI57" s="8">
        <f t="shared" si="22"/>
        <v>18.7</v>
      </c>
      <c r="AJ57" s="8">
        <f t="shared" si="22"/>
        <v>27.7</v>
      </c>
      <c r="AK57" s="8">
        <f t="shared" si="22"/>
        <v>19.5</v>
      </c>
      <c r="AL57" s="8">
        <f t="shared" si="22"/>
        <v>22.8</v>
      </c>
      <c r="AM57" s="8">
        <f t="shared" si="22"/>
        <v>29.5</v>
      </c>
      <c r="AN57" s="8">
        <f t="shared" si="22"/>
        <v>21.5</v>
      </c>
      <c r="AO57" s="8">
        <f t="shared" si="22"/>
        <v>21.6</v>
      </c>
      <c r="AP57" s="8">
        <f t="shared" si="22"/>
        <v>25.8</v>
      </c>
      <c r="AQ57" s="8">
        <f t="shared" si="22"/>
        <v>21.9</v>
      </c>
      <c r="AR57" s="8">
        <f t="shared" si="22"/>
        <v>25</v>
      </c>
      <c r="AS57" s="8">
        <f t="shared" si="22"/>
        <v>30.5</v>
      </c>
      <c r="AT57" s="8">
        <f t="shared" si="22"/>
        <v>22.3</v>
      </c>
      <c r="AU57" s="8">
        <f t="shared" si="22"/>
        <v>24.8</v>
      </c>
      <c r="AV57" s="8">
        <f t="shared" si="22"/>
        <v>31.1</v>
      </c>
      <c r="AW57" s="8">
        <f t="shared" si="22"/>
        <v>29</v>
      </c>
      <c r="AX57" s="8">
        <f t="shared" si="22"/>
        <v>31.5</v>
      </c>
      <c r="AY57" s="8">
        <f t="shared" si="22"/>
        <v>29</v>
      </c>
      <c r="AZ57" s="8">
        <f t="shared" si="22"/>
        <v>30.2</v>
      </c>
      <c r="BA57" s="8">
        <f t="shared" si="22"/>
        <v>30.6</v>
      </c>
      <c r="BB57" s="8">
        <f t="shared" si="22"/>
        <v>17.4</v>
      </c>
      <c r="BC57" s="8">
        <f t="shared" si="22"/>
        <v>18.2</v>
      </c>
      <c r="BD57" s="8">
        <f t="shared" si="22"/>
        <v>21.2</v>
      </c>
      <c r="BE57" s="8">
        <f t="shared" si="22"/>
        <v>20.1</v>
      </c>
      <c r="BF57" s="8">
        <f t="shared" si="22"/>
        <v>18.7</v>
      </c>
      <c r="BG57" s="136">
        <f t="shared" si="22"/>
        <v>19.4</v>
      </c>
    </row>
    <row r="58" spans="1:59" ht="12.75">
      <c r="A58" s="21" t="s">
        <v>29</v>
      </c>
      <c r="B58" s="117">
        <f aca="true" t="shared" si="23" ref="B58:BE58">SUM(B59:B62)</f>
        <v>12946.379200000001</v>
      </c>
      <c r="C58" s="117">
        <f t="shared" si="23"/>
        <v>14114.867189999999</v>
      </c>
      <c r="D58" s="117">
        <f t="shared" si="23"/>
        <v>15322.796839999999</v>
      </c>
      <c r="E58" s="117">
        <f t="shared" si="23"/>
        <v>15532.45185</v>
      </c>
      <c r="F58" s="117">
        <f t="shared" si="23"/>
        <v>16140.202766000002</v>
      </c>
      <c r="G58" s="117">
        <f t="shared" si="23"/>
        <v>15517.858855999999</v>
      </c>
      <c r="H58" s="117">
        <f t="shared" si="23"/>
        <v>15523.630061</v>
      </c>
      <c r="I58" s="117">
        <f t="shared" si="23"/>
        <v>15540.014879999997</v>
      </c>
      <c r="J58" s="117">
        <f t="shared" si="23"/>
        <v>15473.175864</v>
      </c>
      <c r="K58" s="117">
        <f t="shared" si="23"/>
        <v>17697.574285</v>
      </c>
      <c r="L58" s="117">
        <f t="shared" si="23"/>
        <v>15532.37847</v>
      </c>
      <c r="M58" s="117">
        <f t="shared" si="23"/>
        <v>15295.37738</v>
      </c>
      <c r="N58" s="117">
        <f t="shared" si="23"/>
        <v>15494.485466999999</v>
      </c>
      <c r="O58" s="117">
        <f t="shared" si="23"/>
        <v>15546.471000000001</v>
      </c>
      <c r="P58" s="117">
        <f t="shared" si="23"/>
        <v>15496.868461999999</v>
      </c>
      <c r="Q58" s="117">
        <f t="shared" si="23"/>
        <v>15447.964039999999</v>
      </c>
      <c r="R58" s="117">
        <f t="shared" si="23"/>
        <v>15798.19646</v>
      </c>
      <c r="S58" s="117">
        <f t="shared" si="23"/>
        <v>15834.14998</v>
      </c>
      <c r="T58" s="117">
        <f t="shared" si="23"/>
        <v>15666.590216</v>
      </c>
      <c r="U58" s="117">
        <f t="shared" si="23"/>
        <v>15699.171356</v>
      </c>
      <c r="V58" s="117">
        <f t="shared" si="23"/>
        <v>15532.715118000002</v>
      </c>
      <c r="W58" s="117">
        <f t="shared" si="23"/>
        <v>15492.260050000003</v>
      </c>
      <c r="X58" s="117">
        <f t="shared" si="23"/>
        <v>15502.914369999999</v>
      </c>
      <c r="Y58" s="117">
        <f t="shared" si="23"/>
        <v>15332.106300000001</v>
      </c>
      <c r="Z58" s="117">
        <f t="shared" si="23"/>
        <v>15244.158809999999</v>
      </c>
      <c r="AA58" s="117">
        <f t="shared" si="23"/>
        <v>15303.438197000001</v>
      </c>
      <c r="AB58" s="117">
        <f t="shared" si="23"/>
        <v>15034.387816999999</v>
      </c>
      <c r="AC58" s="117">
        <f t="shared" si="23"/>
        <v>15021.1602</v>
      </c>
      <c r="AD58" s="117">
        <f t="shared" si="23"/>
        <v>15539.575194</v>
      </c>
      <c r="AE58" s="117">
        <f t="shared" si="23"/>
        <v>14919.375736</v>
      </c>
      <c r="AF58" s="117">
        <f t="shared" si="23"/>
        <v>14932.554</v>
      </c>
      <c r="AG58" s="117">
        <f t="shared" si="23"/>
        <v>15310.196379000003</v>
      </c>
      <c r="AH58" s="117">
        <f t="shared" si="23"/>
        <v>15095.506453</v>
      </c>
      <c r="AI58" s="117">
        <f t="shared" si="23"/>
        <v>14923.99301</v>
      </c>
      <c r="AJ58" s="117">
        <f t="shared" si="23"/>
        <v>15075.173789</v>
      </c>
      <c r="AK58" s="117">
        <f t="shared" si="23"/>
        <v>14931.043747999998</v>
      </c>
      <c r="AL58" s="117">
        <f t="shared" si="23"/>
        <v>14949.116822000002</v>
      </c>
      <c r="AM58" s="117">
        <f t="shared" si="23"/>
        <v>14987.623644</v>
      </c>
      <c r="AN58" s="117">
        <f t="shared" si="23"/>
        <v>14932.196409999999</v>
      </c>
      <c r="AO58" s="117">
        <f t="shared" si="23"/>
        <v>14860.432442</v>
      </c>
      <c r="AP58" s="117">
        <f t="shared" si="23"/>
        <v>14758.789761999999</v>
      </c>
      <c r="AQ58" s="117">
        <f t="shared" si="23"/>
        <v>14556.620980000002</v>
      </c>
      <c r="AR58" s="117">
        <f t="shared" si="23"/>
        <v>14489.496625000002</v>
      </c>
      <c r="AS58" s="117">
        <f t="shared" si="23"/>
        <v>14523.675936000001</v>
      </c>
      <c r="AT58" s="117">
        <f t="shared" si="23"/>
        <v>15004.343138</v>
      </c>
      <c r="AU58" s="117">
        <f t="shared" si="23"/>
        <v>14357.506417999999</v>
      </c>
      <c r="AV58" s="117">
        <f t="shared" si="23"/>
        <v>14435.7315553</v>
      </c>
      <c r="AW58" s="117">
        <f t="shared" si="23"/>
        <v>14253.714997699999</v>
      </c>
      <c r="AX58" s="117">
        <f t="shared" si="23"/>
        <v>14459.963372000002</v>
      </c>
      <c r="AY58" s="117">
        <f t="shared" si="23"/>
        <v>14461.2441953</v>
      </c>
      <c r="AZ58" s="117">
        <f t="shared" si="23"/>
        <v>14380.007954800001</v>
      </c>
      <c r="BA58" s="117">
        <f t="shared" si="23"/>
        <v>14332.511184</v>
      </c>
      <c r="BB58" s="117">
        <f t="shared" si="23"/>
        <v>14113.737737000001</v>
      </c>
      <c r="BC58" s="117">
        <f t="shared" si="23"/>
        <v>14486.642076</v>
      </c>
      <c r="BD58" s="117">
        <f t="shared" si="23"/>
        <v>14618.891900800001</v>
      </c>
      <c r="BE58" s="117">
        <f t="shared" si="23"/>
        <v>14484.8544084</v>
      </c>
      <c r="BF58" s="117">
        <f>SUM(BF59:BF62)</f>
        <v>14383.3589374</v>
      </c>
      <c r="BG58" s="140">
        <f>SUM(BG59:BG62)</f>
        <v>14370.695954200002</v>
      </c>
    </row>
    <row r="59" spans="1:59" ht="12.75">
      <c r="A59" s="21" t="s">
        <v>30</v>
      </c>
      <c r="B59" s="7">
        <f aca="true" t="shared" si="24" ref="B59:BG62">B122+B175</f>
        <v>6627.8</v>
      </c>
      <c r="C59" s="7">
        <f t="shared" si="24"/>
        <v>7208.900000000001</v>
      </c>
      <c r="D59" s="7">
        <f t="shared" si="24"/>
        <v>7638.139999999999</v>
      </c>
      <c r="E59" s="7">
        <f t="shared" si="24"/>
        <v>7518.679999999999</v>
      </c>
      <c r="F59" s="7">
        <f t="shared" si="24"/>
        <v>8776.502026</v>
      </c>
      <c r="G59" s="7">
        <f t="shared" si="24"/>
        <v>8311.659136</v>
      </c>
      <c r="H59" s="7">
        <f t="shared" si="24"/>
        <v>8359.775876</v>
      </c>
      <c r="I59" s="7">
        <f t="shared" si="24"/>
        <v>8395.758001999999</v>
      </c>
      <c r="J59" s="7">
        <f t="shared" si="24"/>
        <v>8334.920193999998</v>
      </c>
      <c r="K59" s="7">
        <f t="shared" si="24"/>
        <v>10542.670610000001</v>
      </c>
      <c r="L59" s="7">
        <f t="shared" si="24"/>
        <v>10637.00462</v>
      </c>
      <c r="M59" s="7">
        <f t="shared" si="24"/>
        <v>10481.10648</v>
      </c>
      <c r="N59" s="7">
        <f t="shared" si="24"/>
        <v>10501.011596999999</v>
      </c>
      <c r="O59" s="7">
        <f t="shared" si="24"/>
        <v>10580.318150000001</v>
      </c>
      <c r="P59" s="7">
        <f t="shared" si="24"/>
        <v>10510.444182</v>
      </c>
      <c r="Q59" s="7">
        <f t="shared" si="24"/>
        <v>10483.80424</v>
      </c>
      <c r="R59" s="7">
        <f t="shared" si="24"/>
        <v>10678.764809999999</v>
      </c>
      <c r="S59" s="7">
        <f t="shared" si="24"/>
        <v>10603.54743</v>
      </c>
      <c r="T59" s="7">
        <f t="shared" si="24"/>
        <v>10723.038696</v>
      </c>
      <c r="U59" s="7">
        <f t="shared" si="24"/>
        <v>10831.444136</v>
      </c>
      <c r="V59" s="7">
        <f t="shared" si="24"/>
        <v>10698.807898000001</v>
      </c>
      <c r="W59" s="7">
        <f t="shared" si="24"/>
        <v>10667.042650000001</v>
      </c>
      <c r="X59" s="7">
        <f t="shared" si="24"/>
        <v>10725.97567</v>
      </c>
      <c r="Y59" s="7">
        <f t="shared" si="24"/>
        <v>10622.7952</v>
      </c>
      <c r="Z59" s="7">
        <f t="shared" si="24"/>
        <v>10617.76656</v>
      </c>
      <c r="AA59" s="7">
        <f t="shared" si="24"/>
        <v>10723.077467000001</v>
      </c>
      <c r="AB59" s="7">
        <f t="shared" si="24"/>
        <v>10461.371971999999</v>
      </c>
      <c r="AC59" s="7">
        <f t="shared" si="24"/>
        <v>10461.519</v>
      </c>
      <c r="AD59" s="7">
        <f t="shared" si="24"/>
        <v>10826.624951</v>
      </c>
      <c r="AE59" s="7">
        <f t="shared" si="24"/>
        <v>10446.035956</v>
      </c>
      <c r="AF59" s="7">
        <f t="shared" si="24"/>
        <v>10474.50236</v>
      </c>
      <c r="AG59" s="7">
        <f t="shared" si="24"/>
        <v>10903.968015</v>
      </c>
      <c r="AH59" s="7">
        <f t="shared" si="24"/>
        <v>10806.331372999999</v>
      </c>
      <c r="AI59" s="7">
        <f t="shared" si="24"/>
        <v>10686.990908</v>
      </c>
      <c r="AJ59" s="7">
        <f t="shared" si="24"/>
        <v>10780.766107000001</v>
      </c>
      <c r="AK59" s="7">
        <f t="shared" si="24"/>
        <v>10692.73022</v>
      </c>
      <c r="AL59" s="7">
        <f t="shared" si="24"/>
        <v>10667.987132</v>
      </c>
      <c r="AM59" s="7">
        <f t="shared" si="24"/>
        <v>10771.482758999999</v>
      </c>
      <c r="AN59" s="7">
        <f t="shared" si="24"/>
        <v>10683.633745</v>
      </c>
      <c r="AO59" s="7">
        <f t="shared" si="24"/>
        <v>10611.003148</v>
      </c>
      <c r="AP59" s="7">
        <f t="shared" si="24"/>
        <v>10562.846748</v>
      </c>
      <c r="AQ59" s="7">
        <f t="shared" si="24"/>
        <v>10461.893684</v>
      </c>
      <c r="AR59" s="7">
        <f t="shared" si="24"/>
        <v>10412.640375</v>
      </c>
      <c r="AS59" s="7">
        <f t="shared" si="24"/>
        <v>10488.742928000001</v>
      </c>
      <c r="AT59" s="7">
        <f t="shared" si="24"/>
        <v>10908.952928</v>
      </c>
      <c r="AU59" s="7">
        <f t="shared" si="24"/>
        <v>10388.009321</v>
      </c>
      <c r="AV59" s="7">
        <f t="shared" si="24"/>
        <v>10505.9650838</v>
      </c>
      <c r="AW59" s="7">
        <f t="shared" si="24"/>
        <v>10358.6283257</v>
      </c>
      <c r="AX59" s="7">
        <f t="shared" si="24"/>
        <v>10573.526568000001</v>
      </c>
      <c r="AY59" s="7">
        <f t="shared" si="24"/>
        <v>10588.9647767</v>
      </c>
      <c r="AZ59" s="7">
        <f t="shared" si="24"/>
        <v>10519.0189492</v>
      </c>
      <c r="BA59" s="7">
        <f t="shared" si="24"/>
        <v>10517.006256</v>
      </c>
      <c r="BB59" s="7">
        <f t="shared" si="24"/>
        <v>10262.292871</v>
      </c>
      <c r="BC59" s="7">
        <f t="shared" si="24"/>
        <v>10520.755693000001</v>
      </c>
      <c r="BD59" s="7">
        <f t="shared" si="24"/>
        <v>10568.879972</v>
      </c>
      <c r="BE59" s="7">
        <f t="shared" si="24"/>
        <v>10463.9997456</v>
      </c>
      <c r="BF59" s="7">
        <f t="shared" si="24"/>
        <v>10464.5683126</v>
      </c>
      <c r="BG59" s="136">
        <f t="shared" si="24"/>
        <v>10472.1212885</v>
      </c>
    </row>
    <row r="60" spans="1:59" ht="12.75">
      <c r="A60" s="21" t="s">
        <v>31</v>
      </c>
      <c r="B60" s="7">
        <f t="shared" si="24"/>
        <v>6226.44016</v>
      </c>
      <c r="C60" s="7">
        <f t="shared" si="24"/>
        <v>6864.18989</v>
      </c>
      <c r="D60" s="7">
        <f t="shared" si="24"/>
        <v>7661.21047</v>
      </c>
      <c r="E60" s="7">
        <f t="shared" si="24"/>
        <v>7943.07846</v>
      </c>
      <c r="F60" s="7">
        <f t="shared" si="24"/>
        <v>7302.962650000001</v>
      </c>
      <c r="G60" s="7">
        <f t="shared" si="24"/>
        <v>7142.12828</v>
      </c>
      <c r="H60" s="7">
        <f t="shared" si="24"/>
        <v>7098.996075000001</v>
      </c>
      <c r="I60" s="7">
        <f t="shared" si="24"/>
        <v>7084.632377999998</v>
      </c>
      <c r="J60" s="7">
        <f t="shared" si="24"/>
        <v>7083.848150000002</v>
      </c>
      <c r="K60" s="7">
        <f t="shared" si="24"/>
        <v>7099.448874999998</v>
      </c>
      <c r="L60" s="7">
        <f t="shared" si="24"/>
        <v>4843.337449999999</v>
      </c>
      <c r="M60" s="7">
        <f t="shared" si="24"/>
        <v>4761.0941</v>
      </c>
      <c r="N60" s="7">
        <f t="shared" si="24"/>
        <v>4945.23683</v>
      </c>
      <c r="O60" s="7">
        <f t="shared" si="24"/>
        <v>4921.68613</v>
      </c>
      <c r="P60" s="7">
        <f t="shared" si="24"/>
        <v>4941.03276</v>
      </c>
      <c r="Q60" s="7">
        <f t="shared" si="24"/>
        <v>4916.7016</v>
      </c>
      <c r="R60" s="7">
        <f t="shared" si="24"/>
        <v>5077.76245</v>
      </c>
      <c r="S60" s="7">
        <f t="shared" si="24"/>
        <v>5188.878629999999</v>
      </c>
      <c r="T60" s="7">
        <f t="shared" si="24"/>
        <v>4904.0307999999995</v>
      </c>
      <c r="U60" s="7">
        <f t="shared" si="24"/>
        <v>4835.81818</v>
      </c>
      <c r="V60" s="7">
        <f t="shared" si="24"/>
        <v>4801.9953000000005</v>
      </c>
      <c r="W60" s="7">
        <f t="shared" si="24"/>
        <v>4795.6982</v>
      </c>
      <c r="X60" s="7">
        <f t="shared" si="24"/>
        <v>4747.3219</v>
      </c>
      <c r="Y60" s="7">
        <f t="shared" si="24"/>
        <v>4680.00878</v>
      </c>
      <c r="Z60" s="7">
        <f t="shared" si="24"/>
        <v>4597.26945</v>
      </c>
      <c r="AA60" s="7">
        <f t="shared" si="24"/>
        <v>4557.900730000001</v>
      </c>
      <c r="AB60" s="7">
        <f t="shared" si="24"/>
        <v>4551.465845000001</v>
      </c>
      <c r="AC60" s="7">
        <f t="shared" si="24"/>
        <v>4540.0812000000005</v>
      </c>
      <c r="AD60" s="7">
        <f t="shared" si="24"/>
        <v>4696.600243</v>
      </c>
      <c r="AE60" s="7">
        <f t="shared" si="24"/>
        <v>4457.3497800000005</v>
      </c>
      <c r="AF60" s="7">
        <f t="shared" si="24"/>
        <v>4443.56164</v>
      </c>
      <c r="AG60" s="7">
        <f t="shared" si="24"/>
        <v>4393.448364000001</v>
      </c>
      <c r="AH60" s="7">
        <f t="shared" si="24"/>
        <v>4279.645079999999</v>
      </c>
      <c r="AI60" s="7">
        <f t="shared" si="24"/>
        <v>4228.872102</v>
      </c>
      <c r="AJ60" s="7">
        <f t="shared" si="24"/>
        <v>4286.467681999999</v>
      </c>
      <c r="AK60" s="7">
        <f t="shared" si="24"/>
        <v>4230.343527999999</v>
      </c>
      <c r="AL60" s="7">
        <f t="shared" si="24"/>
        <v>4273.209690000001</v>
      </c>
      <c r="AM60" s="7">
        <f t="shared" si="24"/>
        <v>4212.6308850000005</v>
      </c>
      <c r="AN60" s="7">
        <f t="shared" si="24"/>
        <v>4245.402665</v>
      </c>
      <c r="AO60" s="7">
        <f t="shared" si="24"/>
        <v>4246.289294</v>
      </c>
      <c r="AP60" s="7">
        <f t="shared" si="24"/>
        <v>4192.713013999999</v>
      </c>
      <c r="AQ60" s="7">
        <f t="shared" si="24"/>
        <v>4091.6172960000004</v>
      </c>
      <c r="AR60" s="7">
        <f t="shared" si="24"/>
        <v>4073.6862499999997</v>
      </c>
      <c r="AS60" s="7">
        <f t="shared" si="24"/>
        <v>4031.7930080000006</v>
      </c>
      <c r="AT60" s="7">
        <f t="shared" si="24"/>
        <v>4092.4302099999995</v>
      </c>
      <c r="AU60" s="7">
        <f t="shared" si="24"/>
        <v>3966.277097</v>
      </c>
      <c r="AV60" s="7">
        <f t="shared" si="24"/>
        <v>3926.6464715</v>
      </c>
      <c r="AW60" s="7">
        <f t="shared" si="24"/>
        <v>3892.0066720000004</v>
      </c>
      <c r="AX60" s="7">
        <f t="shared" si="24"/>
        <v>3883.416804</v>
      </c>
      <c r="AY60" s="7">
        <f t="shared" si="24"/>
        <v>3869.2994186</v>
      </c>
      <c r="AZ60" s="7">
        <f t="shared" si="24"/>
        <v>3856.9590056</v>
      </c>
      <c r="BA60" s="7">
        <f t="shared" si="24"/>
        <v>3811.6049279999997</v>
      </c>
      <c r="BB60" s="7">
        <f t="shared" si="24"/>
        <v>3847.6548660000003</v>
      </c>
      <c r="BC60" s="7">
        <f t="shared" si="24"/>
        <v>3962.046383</v>
      </c>
      <c r="BD60" s="7">
        <f t="shared" si="24"/>
        <v>4046.1419288</v>
      </c>
      <c r="BE60" s="7">
        <f t="shared" si="24"/>
        <v>4016.9946628000002</v>
      </c>
      <c r="BF60" s="7">
        <f t="shared" si="24"/>
        <v>3915.0106247999997</v>
      </c>
      <c r="BG60" s="136">
        <f t="shared" si="24"/>
        <v>3895.0346657000005</v>
      </c>
    </row>
    <row r="61" spans="1:61" ht="12.75">
      <c r="A61" s="21" t="s">
        <v>32</v>
      </c>
      <c r="B61" s="7">
        <f t="shared" si="24"/>
        <v>92.13904</v>
      </c>
      <c r="C61" s="7">
        <f t="shared" si="24"/>
        <v>41.7773</v>
      </c>
      <c r="D61" s="7">
        <f t="shared" si="24"/>
        <v>23.446369999999998</v>
      </c>
      <c r="E61" s="7">
        <f t="shared" si="24"/>
        <v>70.69339000000001</v>
      </c>
      <c r="F61" s="7">
        <f t="shared" si="24"/>
        <v>60.73809</v>
      </c>
      <c r="G61" s="7">
        <f t="shared" si="24"/>
        <v>64.07144</v>
      </c>
      <c r="H61" s="7">
        <f t="shared" si="24"/>
        <v>64.85811000000001</v>
      </c>
      <c r="I61" s="7">
        <f t="shared" si="24"/>
        <v>59.6245</v>
      </c>
      <c r="J61" s="7">
        <f t="shared" si="24"/>
        <v>54.40752</v>
      </c>
      <c r="K61" s="7">
        <f t="shared" si="24"/>
        <v>55.4548</v>
      </c>
      <c r="L61" s="7">
        <f t="shared" si="24"/>
        <v>52.03639999999999</v>
      </c>
      <c r="M61" s="7">
        <f t="shared" si="24"/>
        <v>53.1768</v>
      </c>
      <c r="N61" s="7">
        <f t="shared" si="24"/>
        <v>48.23704</v>
      </c>
      <c r="O61" s="7">
        <f t="shared" si="24"/>
        <v>44.466719999999995</v>
      </c>
      <c r="P61" s="7">
        <f t="shared" si="24"/>
        <v>45.39152</v>
      </c>
      <c r="Q61" s="7">
        <f t="shared" si="24"/>
        <v>47.4582</v>
      </c>
      <c r="R61" s="7">
        <f t="shared" si="24"/>
        <v>41.669200000000004</v>
      </c>
      <c r="S61" s="7">
        <f t="shared" si="24"/>
        <v>41.72392</v>
      </c>
      <c r="T61" s="7">
        <f t="shared" si="24"/>
        <v>39.52072</v>
      </c>
      <c r="U61" s="7">
        <f t="shared" si="24"/>
        <v>31.909039999999997</v>
      </c>
      <c r="V61" s="7">
        <f t="shared" si="24"/>
        <v>31.91192</v>
      </c>
      <c r="W61" s="7">
        <f t="shared" si="24"/>
        <v>29.5192</v>
      </c>
      <c r="X61" s="7">
        <f t="shared" si="24"/>
        <v>29.6168</v>
      </c>
      <c r="Y61" s="7">
        <f t="shared" si="24"/>
        <v>29.30232</v>
      </c>
      <c r="Z61" s="7">
        <f t="shared" si="24"/>
        <v>29.122799999999998</v>
      </c>
      <c r="AA61" s="7">
        <f t="shared" si="24"/>
        <v>22.46</v>
      </c>
      <c r="AB61" s="7">
        <f t="shared" si="24"/>
        <v>21.55</v>
      </c>
      <c r="AC61" s="7">
        <f t="shared" si="24"/>
        <v>19.56</v>
      </c>
      <c r="AD61" s="7">
        <f t="shared" si="24"/>
        <v>16.35</v>
      </c>
      <c r="AE61" s="7">
        <f t="shared" si="24"/>
        <v>15.99</v>
      </c>
      <c r="AF61" s="7">
        <f t="shared" si="24"/>
        <v>14.49</v>
      </c>
      <c r="AG61" s="7">
        <f t="shared" si="24"/>
        <v>12.78</v>
      </c>
      <c r="AH61" s="7">
        <f t="shared" si="24"/>
        <v>9.53</v>
      </c>
      <c r="AI61" s="7">
        <f t="shared" si="24"/>
        <v>8.13</v>
      </c>
      <c r="AJ61" s="7">
        <f t="shared" si="24"/>
        <v>7.94</v>
      </c>
      <c r="AK61" s="7">
        <f t="shared" si="24"/>
        <v>7.97</v>
      </c>
      <c r="AL61" s="7">
        <f t="shared" si="24"/>
        <v>7.92</v>
      </c>
      <c r="AM61" s="7">
        <f t="shared" si="24"/>
        <v>3.51</v>
      </c>
      <c r="AN61" s="7">
        <f t="shared" si="24"/>
        <v>3.16</v>
      </c>
      <c r="AO61" s="7">
        <f t="shared" si="24"/>
        <v>3.14</v>
      </c>
      <c r="AP61" s="7">
        <f t="shared" si="24"/>
        <v>3.23</v>
      </c>
      <c r="AQ61" s="7">
        <f t="shared" si="24"/>
        <v>3.11</v>
      </c>
      <c r="AR61" s="7">
        <f t="shared" si="24"/>
        <v>3.17</v>
      </c>
      <c r="AS61" s="7">
        <f t="shared" si="24"/>
        <v>3.14</v>
      </c>
      <c r="AT61" s="7">
        <f t="shared" si="24"/>
        <v>2.96</v>
      </c>
      <c r="AU61" s="7">
        <f t="shared" si="24"/>
        <v>3.22</v>
      </c>
      <c r="AV61" s="7">
        <f t="shared" si="24"/>
        <v>3.12</v>
      </c>
      <c r="AW61" s="7">
        <f t="shared" si="24"/>
        <v>3.08</v>
      </c>
      <c r="AX61" s="7">
        <f t="shared" si="24"/>
        <v>3.02</v>
      </c>
      <c r="AY61" s="7">
        <f t="shared" si="24"/>
        <v>2.98</v>
      </c>
      <c r="AZ61" s="7">
        <f t="shared" si="24"/>
        <v>4.03</v>
      </c>
      <c r="BA61" s="7">
        <f t="shared" si="24"/>
        <v>3.9</v>
      </c>
      <c r="BB61" s="7">
        <f t="shared" si="24"/>
        <v>3.79</v>
      </c>
      <c r="BC61" s="7">
        <f t="shared" si="24"/>
        <v>3.84</v>
      </c>
      <c r="BD61" s="7">
        <f t="shared" si="24"/>
        <v>3.87</v>
      </c>
      <c r="BE61" s="7">
        <f t="shared" si="24"/>
        <v>3.86</v>
      </c>
      <c r="BF61" s="7">
        <f t="shared" si="24"/>
        <v>3.78</v>
      </c>
      <c r="BG61" s="136">
        <f t="shared" si="24"/>
        <v>3.54</v>
      </c>
      <c r="BH61" s="36"/>
      <c r="BI61" s="36"/>
    </row>
    <row r="62" spans="1:61" ht="12.75">
      <c r="A62" s="21" t="s">
        <v>33</v>
      </c>
      <c r="B62" s="7">
        <f t="shared" si="24"/>
        <v>0</v>
      </c>
      <c r="C62" s="7">
        <f t="shared" si="24"/>
        <v>0</v>
      </c>
      <c r="D62" s="7">
        <f t="shared" si="24"/>
        <v>0</v>
      </c>
      <c r="E62" s="7">
        <f t="shared" si="24"/>
        <v>0</v>
      </c>
      <c r="F62" s="7">
        <f t="shared" si="24"/>
        <v>0</v>
      </c>
      <c r="G62" s="7">
        <f t="shared" si="24"/>
        <v>0</v>
      </c>
      <c r="H62" s="7">
        <f t="shared" si="24"/>
        <v>0</v>
      </c>
      <c r="I62" s="7">
        <f t="shared" si="24"/>
        <v>0</v>
      </c>
      <c r="J62" s="7">
        <f t="shared" si="24"/>
        <v>0</v>
      </c>
      <c r="K62" s="7">
        <f t="shared" si="24"/>
        <v>0</v>
      </c>
      <c r="L62" s="7">
        <f t="shared" si="24"/>
        <v>0</v>
      </c>
      <c r="M62" s="7">
        <f t="shared" si="24"/>
        <v>0</v>
      </c>
      <c r="N62" s="7">
        <f t="shared" si="24"/>
        <v>0</v>
      </c>
      <c r="O62" s="7">
        <f t="shared" si="24"/>
        <v>0</v>
      </c>
      <c r="P62" s="7">
        <f t="shared" si="24"/>
        <v>0</v>
      </c>
      <c r="Q62" s="7">
        <f t="shared" si="24"/>
        <v>0</v>
      </c>
      <c r="R62" s="7">
        <f t="shared" si="24"/>
        <v>0</v>
      </c>
      <c r="S62" s="7">
        <f t="shared" si="24"/>
        <v>0</v>
      </c>
      <c r="T62" s="7">
        <f t="shared" si="24"/>
        <v>0</v>
      </c>
      <c r="U62" s="7">
        <f t="shared" si="24"/>
        <v>0</v>
      </c>
      <c r="V62" s="7">
        <f t="shared" si="24"/>
        <v>0</v>
      </c>
      <c r="W62" s="7">
        <f t="shared" si="24"/>
        <v>0</v>
      </c>
      <c r="X62" s="7">
        <f t="shared" si="24"/>
        <v>0</v>
      </c>
      <c r="Y62" s="7">
        <f t="shared" si="24"/>
        <v>0</v>
      </c>
      <c r="Z62" s="7">
        <f t="shared" si="24"/>
        <v>0</v>
      </c>
      <c r="AA62" s="7">
        <f t="shared" si="24"/>
        <v>0</v>
      </c>
      <c r="AB62" s="7">
        <f t="shared" si="24"/>
        <v>0</v>
      </c>
      <c r="AC62" s="7">
        <f t="shared" si="24"/>
        <v>0</v>
      </c>
      <c r="AD62" s="7">
        <f t="shared" si="24"/>
        <v>0</v>
      </c>
      <c r="AE62" s="7">
        <f t="shared" si="24"/>
        <v>0</v>
      </c>
      <c r="AF62" s="7">
        <f t="shared" si="24"/>
        <v>0</v>
      </c>
      <c r="AG62" s="7">
        <f t="shared" si="24"/>
        <v>0</v>
      </c>
      <c r="AH62" s="7">
        <f t="shared" si="24"/>
        <v>0</v>
      </c>
      <c r="AI62" s="7">
        <f t="shared" si="24"/>
        <v>0</v>
      </c>
      <c r="AJ62" s="7">
        <f t="shared" si="24"/>
        <v>0</v>
      </c>
      <c r="AK62" s="7">
        <f t="shared" si="24"/>
        <v>0</v>
      </c>
      <c r="AL62" s="7">
        <f t="shared" si="24"/>
        <v>0</v>
      </c>
      <c r="AM62" s="7">
        <f t="shared" si="24"/>
        <v>0</v>
      </c>
      <c r="AN62" s="7">
        <f t="shared" si="24"/>
        <v>0</v>
      </c>
      <c r="AO62" s="7">
        <f t="shared" si="24"/>
        <v>0</v>
      </c>
      <c r="AP62" s="7">
        <f t="shared" si="24"/>
        <v>0</v>
      </c>
      <c r="AQ62" s="7">
        <f t="shared" si="24"/>
        <v>0</v>
      </c>
      <c r="AR62" s="7">
        <f t="shared" si="24"/>
        <v>0</v>
      </c>
      <c r="AS62" s="7">
        <f t="shared" si="24"/>
        <v>0</v>
      </c>
      <c r="AT62" s="7">
        <f t="shared" si="24"/>
        <v>0</v>
      </c>
      <c r="AU62" s="7">
        <f t="shared" si="24"/>
        <v>0</v>
      </c>
      <c r="AV62" s="7">
        <f t="shared" si="24"/>
        <v>0</v>
      </c>
      <c r="AW62" s="7">
        <f t="shared" si="24"/>
        <v>0</v>
      </c>
      <c r="AX62" s="7">
        <f t="shared" si="24"/>
        <v>0</v>
      </c>
      <c r="AY62" s="7">
        <f t="shared" si="24"/>
        <v>0</v>
      </c>
      <c r="AZ62" s="7">
        <f t="shared" si="24"/>
        <v>0</v>
      </c>
      <c r="BA62" s="7">
        <f t="shared" si="24"/>
        <v>0</v>
      </c>
      <c r="BB62" s="7">
        <f t="shared" si="24"/>
        <v>0</v>
      </c>
      <c r="BC62" s="7">
        <f t="shared" si="24"/>
        <v>0</v>
      </c>
      <c r="BD62" s="7">
        <f t="shared" si="24"/>
        <v>0</v>
      </c>
      <c r="BE62" s="7">
        <f t="shared" si="24"/>
        <v>0</v>
      </c>
      <c r="BF62" s="7">
        <f t="shared" si="24"/>
        <v>0</v>
      </c>
      <c r="BG62" s="136">
        <f t="shared" si="24"/>
        <v>0</v>
      </c>
      <c r="BH62" s="11"/>
      <c r="BI62" s="11"/>
    </row>
    <row r="63" spans="1:59" s="86" customFormat="1" ht="12.75">
      <c r="A63" s="155" t="s">
        <v>34</v>
      </c>
      <c r="B63" s="156">
        <f aca="true" t="shared" si="25" ref="B63:BE63">B64+B65</f>
        <v>12876.6</v>
      </c>
      <c r="C63" s="156">
        <f t="shared" si="25"/>
        <v>14098.9</v>
      </c>
      <c r="D63" s="156">
        <f t="shared" si="25"/>
        <v>15322.796839999999</v>
      </c>
      <c r="E63" s="156">
        <f t="shared" si="25"/>
        <v>15532.45185</v>
      </c>
      <c r="F63" s="156">
        <f t="shared" si="25"/>
        <v>16140.222766</v>
      </c>
      <c r="G63" s="156">
        <f t="shared" si="25"/>
        <v>15517.828856000002</v>
      </c>
      <c r="H63" s="156">
        <f t="shared" si="25"/>
        <v>15523.680061</v>
      </c>
      <c r="I63" s="156">
        <f t="shared" si="25"/>
        <v>15540.014879999999</v>
      </c>
      <c r="J63" s="156">
        <f t="shared" si="25"/>
        <v>15473.175864</v>
      </c>
      <c r="K63" s="156">
        <f t="shared" si="25"/>
        <v>17697.574285</v>
      </c>
      <c r="L63" s="156">
        <f t="shared" si="25"/>
        <v>15532.378469999998</v>
      </c>
      <c r="M63" s="156">
        <f t="shared" si="25"/>
        <v>15295.37738</v>
      </c>
      <c r="N63" s="156">
        <f t="shared" si="25"/>
        <v>15494.485467</v>
      </c>
      <c r="O63" s="156">
        <f t="shared" si="25"/>
        <v>15546.471000000001</v>
      </c>
      <c r="P63" s="156">
        <f t="shared" si="25"/>
        <v>15496.838462</v>
      </c>
      <c r="Q63" s="156">
        <f t="shared" si="25"/>
        <v>15430.75404</v>
      </c>
      <c r="R63" s="156">
        <f t="shared" si="25"/>
        <v>15798.21646</v>
      </c>
      <c r="S63" s="156">
        <f t="shared" si="25"/>
        <v>15834.199980000001</v>
      </c>
      <c r="T63" s="156">
        <f t="shared" si="25"/>
        <v>15666.530216</v>
      </c>
      <c r="U63" s="156">
        <f t="shared" si="25"/>
        <v>15699.201356</v>
      </c>
      <c r="V63" s="156">
        <f t="shared" si="25"/>
        <v>15532.705118</v>
      </c>
      <c r="W63" s="156">
        <f t="shared" si="25"/>
        <v>15492.270049999997</v>
      </c>
      <c r="X63" s="156">
        <f t="shared" si="25"/>
        <v>15502.944370000001</v>
      </c>
      <c r="Y63" s="156">
        <f t="shared" si="25"/>
        <v>15332.1263</v>
      </c>
      <c r="Z63" s="156">
        <f t="shared" si="25"/>
        <v>15244.158809999999</v>
      </c>
      <c r="AA63" s="156">
        <f t="shared" si="25"/>
        <v>15303.388197</v>
      </c>
      <c r="AB63" s="156">
        <f t="shared" si="25"/>
        <v>15034.397817</v>
      </c>
      <c r="AC63" s="156">
        <f t="shared" si="25"/>
        <v>15021.1402</v>
      </c>
      <c r="AD63" s="156">
        <f t="shared" si="25"/>
        <v>15539.485194</v>
      </c>
      <c r="AE63" s="156">
        <f t="shared" si="25"/>
        <v>14919.385736</v>
      </c>
      <c r="AF63" s="156">
        <f t="shared" si="25"/>
        <v>14932.554</v>
      </c>
      <c r="AG63" s="156">
        <f t="shared" si="25"/>
        <v>15310.166379</v>
      </c>
      <c r="AH63" s="156">
        <f t="shared" si="25"/>
        <v>15095.526452999999</v>
      </c>
      <c r="AI63" s="156">
        <f t="shared" si="25"/>
        <v>14923.99301</v>
      </c>
      <c r="AJ63" s="156">
        <f t="shared" si="25"/>
        <v>15075.143789</v>
      </c>
      <c r="AK63" s="156">
        <f t="shared" si="25"/>
        <v>14931.033748</v>
      </c>
      <c r="AL63" s="156">
        <f t="shared" si="25"/>
        <v>14949.116822</v>
      </c>
      <c r="AM63" s="156">
        <f t="shared" si="25"/>
        <v>14987.563644</v>
      </c>
      <c r="AN63" s="156">
        <f t="shared" si="25"/>
        <v>14932.24641</v>
      </c>
      <c r="AO63" s="156">
        <f t="shared" si="25"/>
        <v>14860.392441999998</v>
      </c>
      <c r="AP63" s="156">
        <f t="shared" si="25"/>
        <v>14758.789761999999</v>
      </c>
      <c r="AQ63" s="156">
        <f t="shared" si="25"/>
        <v>14556.60098</v>
      </c>
      <c r="AR63" s="156">
        <f t="shared" si="25"/>
        <v>14489.486625000001</v>
      </c>
      <c r="AS63" s="156">
        <f t="shared" si="25"/>
        <v>14523.705936</v>
      </c>
      <c r="AT63" s="156">
        <f t="shared" si="25"/>
        <v>15004.353138</v>
      </c>
      <c r="AU63" s="156">
        <f t="shared" si="25"/>
        <v>14357.526418000001</v>
      </c>
      <c r="AV63" s="156">
        <f t="shared" si="25"/>
        <v>14435.761555300001</v>
      </c>
      <c r="AW63" s="156">
        <f t="shared" si="25"/>
        <v>14253.6949977</v>
      </c>
      <c r="AX63" s="156">
        <f t="shared" si="25"/>
        <v>14459.983372</v>
      </c>
      <c r="AY63" s="156">
        <f t="shared" si="25"/>
        <v>14461.194195299999</v>
      </c>
      <c r="AZ63" s="156">
        <f t="shared" si="25"/>
        <v>14379.9979548</v>
      </c>
      <c r="BA63" s="156">
        <f t="shared" si="25"/>
        <v>14332.481183999998</v>
      </c>
      <c r="BB63" s="156">
        <f t="shared" si="25"/>
        <v>14114.077737</v>
      </c>
      <c r="BC63" s="156">
        <f t="shared" si="25"/>
        <v>14486.682076</v>
      </c>
      <c r="BD63" s="156">
        <f t="shared" si="25"/>
        <v>14618.9219008</v>
      </c>
      <c r="BE63" s="156">
        <f t="shared" si="25"/>
        <v>14484.8344084</v>
      </c>
      <c r="BF63" s="156">
        <f>BF64+BF65</f>
        <v>14383.328937400001</v>
      </c>
      <c r="BG63" s="156">
        <f>BG64+BG65</f>
        <v>14370.6659542</v>
      </c>
    </row>
    <row r="64" spans="1:59" s="86" customFormat="1" ht="12.75">
      <c r="A64" s="155" t="s">
        <v>19</v>
      </c>
      <c r="B64" s="159">
        <f aca="true" t="shared" si="26" ref="B64:BE64">B126</f>
        <v>7408.32</v>
      </c>
      <c r="C64" s="159">
        <f t="shared" si="26"/>
        <v>8094.19</v>
      </c>
      <c r="D64" s="159">
        <f t="shared" si="26"/>
        <v>8851.13</v>
      </c>
      <c r="E64" s="159">
        <f t="shared" si="26"/>
        <v>8840.51</v>
      </c>
      <c r="F64" s="159">
        <f t="shared" si="26"/>
        <v>9110.8</v>
      </c>
      <c r="G64" s="159">
        <f t="shared" si="26"/>
        <v>9058.6</v>
      </c>
      <c r="H64" s="159">
        <f t="shared" si="26"/>
        <v>9063.95</v>
      </c>
      <c r="I64" s="159">
        <f t="shared" si="26"/>
        <v>8975.49</v>
      </c>
      <c r="J64" s="159">
        <f t="shared" si="26"/>
        <v>9011.39</v>
      </c>
      <c r="K64" s="159">
        <f t="shared" si="26"/>
        <v>11219.01</v>
      </c>
      <c r="L64" s="159">
        <f t="shared" si="26"/>
        <v>11149.66</v>
      </c>
      <c r="M64" s="159">
        <f t="shared" si="26"/>
        <v>11128.56</v>
      </c>
      <c r="N64" s="159">
        <f t="shared" si="26"/>
        <v>11151.02</v>
      </c>
      <c r="O64" s="159">
        <f t="shared" si="26"/>
        <v>11151.02</v>
      </c>
      <c r="P64" s="159">
        <f t="shared" si="26"/>
        <v>11151.02</v>
      </c>
      <c r="Q64" s="159">
        <f t="shared" si="26"/>
        <v>11151.02</v>
      </c>
      <c r="R64" s="159">
        <f t="shared" si="26"/>
        <v>11151.02</v>
      </c>
      <c r="S64" s="159">
        <f t="shared" si="26"/>
        <v>11151.02</v>
      </c>
      <c r="T64" s="159">
        <f t="shared" si="26"/>
        <v>0</v>
      </c>
      <c r="U64" s="159">
        <f t="shared" si="26"/>
        <v>0</v>
      </c>
      <c r="V64" s="159">
        <f t="shared" si="26"/>
        <v>0</v>
      </c>
      <c r="W64" s="159">
        <f t="shared" si="26"/>
        <v>0</v>
      </c>
      <c r="X64" s="159">
        <f t="shared" si="26"/>
        <v>0</v>
      </c>
      <c r="Y64" s="159">
        <f t="shared" si="26"/>
        <v>0</v>
      </c>
      <c r="Z64" s="159">
        <f t="shared" si="26"/>
        <v>0</v>
      </c>
      <c r="AA64" s="159">
        <f t="shared" si="26"/>
        <v>0</v>
      </c>
      <c r="AB64" s="159">
        <f t="shared" si="26"/>
        <v>0</v>
      </c>
      <c r="AC64" s="159">
        <f t="shared" si="26"/>
        <v>0</v>
      </c>
      <c r="AD64" s="159">
        <f t="shared" si="26"/>
        <v>0</v>
      </c>
      <c r="AE64" s="159">
        <f t="shared" si="26"/>
        <v>0</v>
      </c>
      <c r="AF64" s="159">
        <f t="shared" si="26"/>
        <v>0</v>
      </c>
      <c r="AG64" s="159">
        <f t="shared" si="26"/>
        <v>0</v>
      </c>
      <c r="AH64" s="159">
        <f t="shared" si="26"/>
        <v>0</v>
      </c>
      <c r="AI64" s="159">
        <f t="shared" si="26"/>
        <v>0</v>
      </c>
      <c r="AJ64" s="159">
        <f t="shared" si="26"/>
        <v>0</v>
      </c>
      <c r="AK64" s="159">
        <f t="shared" si="26"/>
        <v>0</v>
      </c>
      <c r="AL64" s="159">
        <f t="shared" si="26"/>
        <v>0</v>
      </c>
      <c r="AM64" s="159">
        <f t="shared" si="26"/>
        <v>0</v>
      </c>
      <c r="AN64" s="159">
        <f t="shared" si="26"/>
        <v>0</v>
      </c>
      <c r="AO64" s="159">
        <f t="shared" si="26"/>
        <v>0</v>
      </c>
      <c r="AP64" s="159">
        <f t="shared" si="26"/>
        <v>0</v>
      </c>
      <c r="AQ64" s="159">
        <f t="shared" si="26"/>
        <v>0</v>
      </c>
      <c r="AR64" s="159">
        <f t="shared" si="26"/>
        <v>0</v>
      </c>
      <c r="AS64" s="159">
        <f t="shared" si="26"/>
        <v>0</v>
      </c>
      <c r="AT64" s="159">
        <f t="shared" si="26"/>
        <v>0</v>
      </c>
      <c r="AU64" s="159">
        <f t="shared" si="26"/>
        <v>0</v>
      </c>
      <c r="AV64" s="159">
        <f t="shared" si="26"/>
        <v>0</v>
      </c>
      <c r="AW64" s="159">
        <f t="shared" si="26"/>
        <v>0</v>
      </c>
      <c r="AX64" s="159">
        <f t="shared" si="26"/>
        <v>0</v>
      </c>
      <c r="AY64" s="159">
        <f t="shared" si="26"/>
        <v>0</v>
      </c>
      <c r="AZ64" s="159">
        <f t="shared" si="26"/>
        <v>0</v>
      </c>
      <c r="BA64" s="159">
        <f t="shared" si="26"/>
        <v>0</v>
      </c>
      <c r="BB64" s="159">
        <f t="shared" si="26"/>
        <v>0</v>
      </c>
      <c r="BC64" s="159">
        <f t="shared" si="26"/>
        <v>0</v>
      </c>
      <c r="BD64" s="159">
        <f t="shared" si="26"/>
        <v>0</v>
      </c>
      <c r="BE64" s="159">
        <f t="shared" si="26"/>
        <v>0</v>
      </c>
      <c r="BF64" s="159">
        <f>BF126</f>
        <v>0</v>
      </c>
      <c r="BG64" s="159">
        <f>BG126</f>
        <v>0</v>
      </c>
    </row>
    <row r="65" spans="1:59" s="86" customFormat="1" ht="12.75">
      <c r="A65" s="155" t="s">
        <v>20</v>
      </c>
      <c r="B65" s="159">
        <f aca="true" t="shared" si="27" ref="B65:BE65">B179</f>
        <v>5468.280000000001</v>
      </c>
      <c r="C65" s="159">
        <f t="shared" si="27"/>
        <v>6004.71</v>
      </c>
      <c r="D65" s="159">
        <f t="shared" si="27"/>
        <v>6471.66684</v>
      </c>
      <c r="E65" s="159">
        <f t="shared" si="27"/>
        <v>6691.941849999999</v>
      </c>
      <c r="F65" s="159">
        <f t="shared" si="27"/>
        <v>7029.4227660000015</v>
      </c>
      <c r="G65" s="159">
        <f t="shared" si="27"/>
        <v>6459.2288560000015</v>
      </c>
      <c r="H65" s="159">
        <f t="shared" si="27"/>
        <v>6459.730060999998</v>
      </c>
      <c r="I65" s="159">
        <f t="shared" si="27"/>
        <v>6564.524879999999</v>
      </c>
      <c r="J65" s="159">
        <f t="shared" si="27"/>
        <v>6461.785864000001</v>
      </c>
      <c r="K65" s="159">
        <f t="shared" si="27"/>
        <v>6478.564284999999</v>
      </c>
      <c r="L65" s="159">
        <f t="shared" si="27"/>
        <v>4382.718469999998</v>
      </c>
      <c r="M65" s="159">
        <f t="shared" si="27"/>
        <v>4166.81738</v>
      </c>
      <c r="N65" s="159">
        <f t="shared" si="27"/>
        <v>4343.465467</v>
      </c>
      <c r="O65" s="159">
        <f t="shared" si="27"/>
        <v>4395.451000000001</v>
      </c>
      <c r="P65" s="159">
        <f t="shared" si="27"/>
        <v>4345.818461999999</v>
      </c>
      <c r="Q65" s="159">
        <f t="shared" si="27"/>
        <v>4279.734039999999</v>
      </c>
      <c r="R65" s="159">
        <f t="shared" si="27"/>
        <v>4647.196459999999</v>
      </c>
      <c r="S65" s="159">
        <f t="shared" si="27"/>
        <v>4683.179980000001</v>
      </c>
      <c r="T65" s="159">
        <f t="shared" si="27"/>
        <v>15666.530216</v>
      </c>
      <c r="U65" s="159">
        <f t="shared" si="27"/>
        <v>15699.201356</v>
      </c>
      <c r="V65" s="159">
        <f t="shared" si="27"/>
        <v>15532.705118</v>
      </c>
      <c r="W65" s="159">
        <f t="shared" si="27"/>
        <v>15492.270049999997</v>
      </c>
      <c r="X65" s="159">
        <f t="shared" si="27"/>
        <v>15502.944370000001</v>
      </c>
      <c r="Y65" s="159">
        <f t="shared" si="27"/>
        <v>15332.1263</v>
      </c>
      <c r="Z65" s="159">
        <f t="shared" si="27"/>
        <v>15244.158809999999</v>
      </c>
      <c r="AA65" s="159">
        <f t="shared" si="27"/>
        <v>15303.388197</v>
      </c>
      <c r="AB65" s="159">
        <f t="shared" si="27"/>
        <v>15034.397817</v>
      </c>
      <c r="AC65" s="159">
        <f t="shared" si="27"/>
        <v>15021.1402</v>
      </c>
      <c r="AD65" s="159">
        <f t="shared" si="27"/>
        <v>15539.485194</v>
      </c>
      <c r="AE65" s="159">
        <f t="shared" si="27"/>
        <v>14919.385736</v>
      </c>
      <c r="AF65" s="159">
        <f t="shared" si="27"/>
        <v>14932.554</v>
      </c>
      <c r="AG65" s="159">
        <f t="shared" si="27"/>
        <v>15310.166379</v>
      </c>
      <c r="AH65" s="159">
        <f t="shared" si="27"/>
        <v>15095.526452999999</v>
      </c>
      <c r="AI65" s="159">
        <f t="shared" si="27"/>
        <v>14923.99301</v>
      </c>
      <c r="AJ65" s="159">
        <f t="shared" si="27"/>
        <v>15075.143789</v>
      </c>
      <c r="AK65" s="159">
        <f t="shared" si="27"/>
        <v>14931.033748</v>
      </c>
      <c r="AL65" s="159">
        <f t="shared" si="27"/>
        <v>14949.116822</v>
      </c>
      <c r="AM65" s="159">
        <f t="shared" si="27"/>
        <v>14987.563644</v>
      </c>
      <c r="AN65" s="159">
        <f t="shared" si="27"/>
        <v>14932.24641</v>
      </c>
      <c r="AO65" s="159">
        <f t="shared" si="27"/>
        <v>14860.392441999998</v>
      </c>
      <c r="AP65" s="159">
        <f t="shared" si="27"/>
        <v>14758.789761999999</v>
      </c>
      <c r="AQ65" s="159">
        <f t="shared" si="27"/>
        <v>14556.60098</v>
      </c>
      <c r="AR65" s="159">
        <f t="shared" si="27"/>
        <v>14489.486625000001</v>
      </c>
      <c r="AS65" s="159">
        <f t="shared" si="27"/>
        <v>14523.705936</v>
      </c>
      <c r="AT65" s="159">
        <f t="shared" si="27"/>
        <v>15004.353138</v>
      </c>
      <c r="AU65" s="159">
        <f t="shared" si="27"/>
        <v>14357.526418000001</v>
      </c>
      <c r="AV65" s="159">
        <f t="shared" si="27"/>
        <v>14435.761555300001</v>
      </c>
      <c r="AW65" s="159">
        <f t="shared" si="27"/>
        <v>14253.6949977</v>
      </c>
      <c r="AX65" s="159">
        <f t="shared" si="27"/>
        <v>14459.983372</v>
      </c>
      <c r="AY65" s="159">
        <f t="shared" si="27"/>
        <v>14461.194195299999</v>
      </c>
      <c r="AZ65" s="159">
        <f t="shared" si="27"/>
        <v>14379.9979548</v>
      </c>
      <c r="BA65" s="159">
        <f t="shared" si="27"/>
        <v>14332.481183999998</v>
      </c>
      <c r="BB65" s="159">
        <f t="shared" si="27"/>
        <v>14114.077737</v>
      </c>
      <c r="BC65" s="159">
        <f t="shared" si="27"/>
        <v>14486.682076</v>
      </c>
      <c r="BD65" s="159">
        <f t="shared" si="27"/>
        <v>14618.9219008</v>
      </c>
      <c r="BE65" s="159">
        <f t="shared" si="27"/>
        <v>14484.8344084</v>
      </c>
      <c r="BF65" s="159">
        <f>BF179</f>
        <v>14383.328937400001</v>
      </c>
      <c r="BG65" s="159">
        <f>BG179</f>
        <v>14370.6659542</v>
      </c>
    </row>
    <row r="66" spans="1:61" ht="12.75">
      <c r="A66" s="63" t="s">
        <v>62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38"/>
      <c r="BH66" s="11"/>
      <c r="BI66" s="11"/>
    </row>
    <row r="67" spans="1:59" ht="12.75">
      <c r="A67" s="60" t="s">
        <v>63</v>
      </c>
      <c r="B67" s="17">
        <f aca="true" t="shared" si="28" ref="B67:BE67">B181</f>
        <v>0</v>
      </c>
      <c r="C67" s="17">
        <f t="shared" si="28"/>
        <v>0</v>
      </c>
      <c r="D67" s="17">
        <f t="shared" si="28"/>
        <v>1.5</v>
      </c>
      <c r="E67" s="64">
        <f t="shared" si="28"/>
        <v>0.045</v>
      </c>
      <c r="F67" s="17">
        <f t="shared" si="28"/>
        <v>0</v>
      </c>
      <c r="G67" s="17">
        <f t="shared" si="28"/>
        <v>0</v>
      </c>
      <c r="H67" s="17">
        <f t="shared" si="28"/>
        <v>0</v>
      </c>
      <c r="I67" s="17">
        <f t="shared" si="28"/>
        <v>0</v>
      </c>
      <c r="J67" s="17">
        <f t="shared" si="28"/>
        <v>0</v>
      </c>
      <c r="K67" s="17">
        <f t="shared" si="28"/>
        <v>0</v>
      </c>
      <c r="L67" s="17">
        <f t="shared" si="28"/>
        <v>0</v>
      </c>
      <c r="M67" s="17">
        <f t="shared" si="28"/>
        <v>0</v>
      </c>
      <c r="N67" s="17">
        <f t="shared" si="28"/>
        <v>0</v>
      </c>
      <c r="O67" s="17">
        <f t="shared" si="28"/>
        <v>0</v>
      </c>
      <c r="P67" s="17">
        <f t="shared" si="28"/>
        <v>0</v>
      </c>
      <c r="Q67" s="17">
        <f t="shared" si="28"/>
        <v>0</v>
      </c>
      <c r="R67" s="17">
        <f t="shared" si="28"/>
        <v>0</v>
      </c>
      <c r="S67" s="17">
        <f t="shared" si="28"/>
        <v>0</v>
      </c>
      <c r="T67" s="17">
        <f t="shared" si="28"/>
        <v>0</v>
      </c>
      <c r="U67" s="17">
        <f t="shared" si="28"/>
        <v>0</v>
      </c>
      <c r="V67" s="17">
        <f t="shared" si="28"/>
        <v>0</v>
      </c>
      <c r="W67" s="17">
        <f t="shared" si="28"/>
        <v>0</v>
      </c>
      <c r="X67" s="17">
        <f t="shared" si="28"/>
        <v>0</v>
      </c>
      <c r="Y67" s="17">
        <f t="shared" si="28"/>
        <v>0</v>
      </c>
      <c r="Z67" s="17">
        <f t="shared" si="28"/>
        <v>0</v>
      </c>
      <c r="AA67" s="17">
        <f t="shared" si="28"/>
        <v>0</v>
      </c>
      <c r="AB67" s="17">
        <f t="shared" si="28"/>
        <v>0</v>
      </c>
      <c r="AC67" s="17">
        <f t="shared" si="28"/>
        <v>0</v>
      </c>
      <c r="AD67" s="17">
        <f t="shared" si="28"/>
        <v>0</v>
      </c>
      <c r="AE67" s="17">
        <f t="shared" si="28"/>
        <v>0</v>
      </c>
      <c r="AF67" s="17">
        <f t="shared" si="28"/>
        <v>0</v>
      </c>
      <c r="AG67" s="17">
        <f t="shared" si="28"/>
        <v>0</v>
      </c>
      <c r="AH67" s="17">
        <f t="shared" si="28"/>
        <v>0</v>
      </c>
      <c r="AI67" s="17">
        <f t="shared" si="28"/>
        <v>0</v>
      </c>
      <c r="AJ67" s="17">
        <f t="shared" si="28"/>
        <v>0</v>
      </c>
      <c r="AK67" s="17">
        <f t="shared" si="28"/>
        <v>0</v>
      </c>
      <c r="AL67" s="17">
        <f t="shared" si="28"/>
        <v>0</v>
      </c>
      <c r="AM67" s="17">
        <f t="shared" si="28"/>
        <v>0</v>
      </c>
      <c r="AN67" s="17">
        <f t="shared" si="28"/>
        <v>0</v>
      </c>
      <c r="AO67" s="17">
        <f t="shared" si="28"/>
        <v>0</v>
      </c>
      <c r="AP67" s="17">
        <f t="shared" si="28"/>
        <v>0</v>
      </c>
      <c r="AQ67" s="17">
        <f t="shared" si="28"/>
        <v>0</v>
      </c>
      <c r="AR67" s="17">
        <f t="shared" si="28"/>
        <v>0</v>
      </c>
      <c r="AS67" s="17">
        <f t="shared" si="28"/>
        <v>0</v>
      </c>
      <c r="AT67" s="17">
        <f t="shared" si="28"/>
        <v>0</v>
      </c>
      <c r="AU67" s="17">
        <f t="shared" si="28"/>
        <v>0</v>
      </c>
      <c r="AV67" s="17">
        <f t="shared" si="28"/>
        <v>0</v>
      </c>
      <c r="AW67" s="17">
        <f t="shared" si="28"/>
        <v>0</v>
      </c>
      <c r="AX67" s="17">
        <f t="shared" si="28"/>
        <v>0</v>
      </c>
      <c r="AY67" s="17">
        <f t="shared" si="28"/>
        <v>0</v>
      </c>
      <c r="AZ67" s="17">
        <f t="shared" si="28"/>
        <v>0</v>
      </c>
      <c r="BA67" s="17">
        <f t="shared" si="28"/>
        <v>0</v>
      </c>
      <c r="BB67" s="17">
        <f t="shared" si="28"/>
        <v>0</v>
      </c>
      <c r="BC67" s="17">
        <f t="shared" si="28"/>
        <v>0</v>
      </c>
      <c r="BD67" s="17">
        <f t="shared" si="28"/>
        <v>0</v>
      </c>
      <c r="BE67" s="17">
        <f t="shared" si="28"/>
        <v>0</v>
      </c>
      <c r="BF67" s="17">
        <f>BF181</f>
        <v>0</v>
      </c>
      <c r="BG67" s="138">
        <f>BG181</f>
        <v>0</v>
      </c>
    </row>
    <row r="68" spans="1:59" ht="12.75">
      <c r="A68" s="6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BG68" s="132"/>
    </row>
    <row r="69" spans="1:59" ht="12.75">
      <c r="A69" s="66" t="s">
        <v>131</v>
      </c>
      <c r="B69" s="67">
        <v>529624</v>
      </c>
      <c r="C69" s="67">
        <v>562062</v>
      </c>
      <c r="D69" s="67">
        <v>595367</v>
      </c>
      <c r="E69" s="25">
        <v>637456</v>
      </c>
      <c r="F69" s="25">
        <v>668590</v>
      </c>
      <c r="G69" s="25">
        <v>666637</v>
      </c>
      <c r="H69" s="25">
        <v>666637</v>
      </c>
      <c r="I69" s="25">
        <v>676317.3</v>
      </c>
      <c r="J69" s="25">
        <v>684915.9</v>
      </c>
      <c r="K69" s="25">
        <v>684915.9</v>
      </c>
      <c r="L69" s="25">
        <v>684915.9</v>
      </c>
      <c r="M69" s="25">
        <v>684915.9</v>
      </c>
      <c r="N69" s="25">
        <v>684915.9</v>
      </c>
      <c r="O69" s="25">
        <v>684915.9</v>
      </c>
      <c r="P69" s="25">
        <v>684915.9</v>
      </c>
      <c r="Q69" s="25">
        <v>697240.2</v>
      </c>
      <c r="R69" s="25">
        <v>712588</v>
      </c>
      <c r="S69" s="25">
        <v>712800</v>
      </c>
      <c r="T69" s="25">
        <v>712800</v>
      </c>
      <c r="U69" s="25">
        <f>BM16</f>
        <v>719721.1</v>
      </c>
      <c r="V69" s="25">
        <f>BM17</f>
        <v>737209.2999999999</v>
      </c>
      <c r="W69" s="25">
        <f>V69</f>
        <v>737209.2999999999</v>
      </c>
      <c r="X69" s="25">
        <f>W69</f>
        <v>737209.2999999999</v>
      </c>
      <c r="Y69" s="25">
        <f>X69</f>
        <v>737209.2999999999</v>
      </c>
      <c r="Z69" s="18">
        <f>Y69</f>
        <v>737209.2999999999</v>
      </c>
      <c r="AA69" s="18">
        <f>BM18</f>
        <v>748624.3</v>
      </c>
      <c r="AB69" s="18">
        <f>BM18</f>
        <v>748624.3</v>
      </c>
      <c r="AC69" s="18">
        <f>BM18</f>
        <v>748624.3</v>
      </c>
      <c r="AD69" s="18">
        <v>765135</v>
      </c>
      <c r="AE69" s="18">
        <v>761473.6</v>
      </c>
      <c r="AF69" s="18">
        <v>761473.6</v>
      </c>
      <c r="AG69" s="18">
        <f>BM20</f>
        <v>783970.3999999999</v>
      </c>
      <c r="AH69" s="18">
        <f>BM20</f>
        <v>783970.3999999999</v>
      </c>
      <c r="AI69" s="18">
        <f>BM20</f>
        <v>783970.3999999999</v>
      </c>
      <c r="AJ69" s="18">
        <f>BM21</f>
        <v>801124</v>
      </c>
      <c r="AK69" s="18">
        <f>BL21</f>
        <v>0</v>
      </c>
      <c r="AL69" s="18">
        <f>BM21</f>
        <v>801124</v>
      </c>
      <c r="AM69" s="18">
        <f>BM22</f>
        <v>830141.4</v>
      </c>
      <c r="AN69" s="18">
        <f>BM22</f>
        <v>830141.4</v>
      </c>
      <c r="AO69" s="18">
        <f>BM22</f>
        <v>830141.4</v>
      </c>
      <c r="AP69" s="25">
        <v>856700</v>
      </c>
      <c r="AQ69" s="25">
        <f>BM23</f>
        <v>858659.6000000001</v>
      </c>
      <c r="AR69" s="25">
        <f>AQ69</f>
        <v>858659.6000000001</v>
      </c>
      <c r="AS69" s="25">
        <f>BM24</f>
        <v>873824.7000000001</v>
      </c>
      <c r="AT69" s="25">
        <f>AS69</f>
        <v>873824.7000000001</v>
      </c>
      <c r="AU69" s="25">
        <f>AT69</f>
        <v>873824.7000000001</v>
      </c>
      <c r="AV69" s="25">
        <f>BM25</f>
        <v>893002.4</v>
      </c>
      <c r="AW69" s="25">
        <f>BM25</f>
        <v>893002.4</v>
      </c>
      <c r="AX69" s="25">
        <f>AW69</f>
        <v>893002.4</v>
      </c>
      <c r="AY69" s="25">
        <f>BM26</f>
        <v>917954.2</v>
      </c>
      <c r="AZ69" s="25">
        <f>BM26</f>
        <v>917954.2</v>
      </c>
      <c r="BA69" s="25">
        <f>BM26</f>
        <v>917954.2</v>
      </c>
      <c r="BB69" s="25">
        <f>BM27</f>
        <v>944220.2</v>
      </c>
      <c r="BC69" s="25">
        <f>BM31</f>
        <v>967822.4999999999</v>
      </c>
      <c r="BD69" s="25">
        <f>BM31</f>
        <v>967822.4999999999</v>
      </c>
      <c r="BE69" s="25">
        <f>BM31</f>
        <v>967822.4999999999</v>
      </c>
      <c r="BF69" s="25">
        <f>BM31</f>
        <v>967822.4999999999</v>
      </c>
      <c r="BG69" s="18">
        <f>BM31</f>
        <v>967822.4999999999</v>
      </c>
    </row>
    <row r="70" spans="1:59" ht="12.75">
      <c r="A70" s="68"/>
      <c r="B70" s="26"/>
      <c r="D70" s="30"/>
      <c r="E70" s="69">
        <v>628581</v>
      </c>
      <c r="F70" s="70"/>
      <c r="BG70" s="130"/>
    </row>
    <row r="71" spans="1:59" ht="12.75">
      <c r="A71" s="68" t="s">
        <v>113</v>
      </c>
      <c r="B71" s="26"/>
      <c r="D71" s="30"/>
      <c r="E71" s="30"/>
      <c r="BG71" s="130"/>
    </row>
    <row r="72" spans="1:59" ht="12.75">
      <c r="A72" s="198" t="s">
        <v>135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BG72" s="130"/>
    </row>
    <row r="73" ht="12.75">
      <c r="BG73" s="130"/>
    </row>
    <row r="74" ht="12.75">
      <c r="BG74" s="132"/>
    </row>
    <row r="75" spans="4:59" ht="12.75" customHeight="1">
      <c r="D75" s="48"/>
      <c r="E75" s="48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71">
        <v>152874.9</v>
      </c>
      <c r="AN75" s="14"/>
      <c r="AO75" s="14"/>
      <c r="AP75" s="14"/>
      <c r="AQ75" s="14" t="s">
        <v>0</v>
      </c>
      <c r="AR75" s="14" t="s">
        <v>0</v>
      </c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F75" s="14"/>
      <c r="BG75" s="133" t="s">
        <v>0</v>
      </c>
    </row>
    <row r="76" spans="1:59" ht="13.5" customHeight="1">
      <c r="A76" s="199" t="s">
        <v>35</v>
      </c>
      <c r="B76" s="196">
        <f>B9</f>
        <v>2010</v>
      </c>
      <c r="C76" s="196">
        <f aca="true" t="shared" si="29" ref="C76:BB76">C9</f>
        <v>2011</v>
      </c>
      <c r="D76" s="196">
        <f t="shared" si="29"/>
        <v>2012</v>
      </c>
      <c r="E76" s="196">
        <f t="shared" si="29"/>
        <v>2013</v>
      </c>
      <c r="F76" s="196">
        <f t="shared" si="29"/>
        <v>2014</v>
      </c>
      <c r="G76" s="196" t="str">
        <f t="shared" si="29"/>
        <v>
Ianuarie 2015*)</v>
      </c>
      <c r="H76" s="196" t="str">
        <f t="shared" si="29"/>
        <v>
Februarie 2015*)</v>
      </c>
      <c r="I76" s="196" t="str">
        <f t="shared" si="29"/>
        <v>
Martie 2015*)</v>
      </c>
      <c r="J76" s="196" t="str">
        <f t="shared" si="29"/>
        <v>
Aprilie 2015*)</v>
      </c>
      <c r="K76" s="196" t="str">
        <f t="shared" si="29"/>
        <v>
Mai 2015*)</v>
      </c>
      <c r="L76" s="196" t="str">
        <f t="shared" si="29"/>
        <v>Iunie 2015*)</v>
      </c>
      <c r="M76" s="196" t="str">
        <f t="shared" si="29"/>
        <v>Iulie 2015*)</v>
      </c>
      <c r="N76" s="196" t="str">
        <f t="shared" si="29"/>
        <v>August 2015*)</v>
      </c>
      <c r="O76" s="196" t="str">
        <f t="shared" si="29"/>
        <v>Septembrie 2015*)</v>
      </c>
      <c r="P76" s="196" t="str">
        <f t="shared" si="29"/>
        <v>Octombrie 2015*)</v>
      </c>
      <c r="Q76" s="196" t="str">
        <f t="shared" si="29"/>
        <v>Noiembrie 2015*)</v>
      </c>
      <c r="R76" s="196">
        <f t="shared" si="29"/>
        <v>2015</v>
      </c>
      <c r="S76" s="196" t="str">
        <f t="shared" si="29"/>
        <v>Ianuarie 2016*)</v>
      </c>
      <c r="T76" s="196" t="str">
        <f t="shared" si="29"/>
        <v>Februarie 2016*)</v>
      </c>
      <c r="U76" s="196" t="str">
        <f t="shared" si="29"/>
        <v>Martie 2016*)</v>
      </c>
      <c r="V76" s="196" t="str">
        <f t="shared" si="29"/>
        <v>Aprilie 2016*)</v>
      </c>
      <c r="W76" s="196" t="str">
        <f t="shared" si="29"/>
        <v>Mai 2016*)</v>
      </c>
      <c r="X76" s="196" t="str">
        <f t="shared" si="29"/>
        <v>Iunie 2016*)</v>
      </c>
      <c r="Y76" s="196" t="str">
        <f t="shared" si="29"/>
        <v>Iulie 2016*)</v>
      </c>
      <c r="Z76" s="196" t="str">
        <f t="shared" si="29"/>
        <v>August 2016*)</v>
      </c>
      <c r="AA76" s="196" t="str">
        <f t="shared" si="29"/>
        <v>Septembrie 2016*)</v>
      </c>
      <c r="AB76" s="196" t="str">
        <f t="shared" si="29"/>
        <v>Octombrie 2016*)</v>
      </c>
      <c r="AC76" s="196" t="str">
        <f t="shared" si="29"/>
        <v>Noiembrie 2016*)</v>
      </c>
      <c r="AD76" s="196">
        <f t="shared" si="29"/>
        <v>2016</v>
      </c>
      <c r="AE76" s="196" t="str">
        <f t="shared" si="29"/>
        <v>Ianuarie 2017**)</v>
      </c>
      <c r="AF76" s="196" t="str">
        <f t="shared" si="29"/>
        <v>Februarie 2017**)</v>
      </c>
      <c r="AG76" s="196" t="str">
        <f t="shared" si="29"/>
        <v>Martie 2017*)</v>
      </c>
      <c r="AH76" s="196" t="str">
        <f t="shared" si="29"/>
        <v>Aprilie 2017*)</v>
      </c>
      <c r="AI76" s="196" t="str">
        <f t="shared" si="29"/>
        <v>Mai 2017*)</v>
      </c>
      <c r="AJ76" s="196" t="str">
        <f t="shared" si="29"/>
        <v>Iunie 2017*)</v>
      </c>
      <c r="AK76" s="196" t="str">
        <f t="shared" si="29"/>
        <v>Iulie 2017*)</v>
      </c>
      <c r="AL76" s="196" t="str">
        <f t="shared" si="29"/>
        <v>August 2017*)</v>
      </c>
      <c r="AM76" s="196" t="str">
        <f t="shared" si="29"/>
        <v>Septembrie 2017*)</v>
      </c>
      <c r="AN76" s="196" t="str">
        <f t="shared" si="29"/>
        <v>Octombrie 2017*)</v>
      </c>
      <c r="AO76" s="196" t="str">
        <f t="shared" si="29"/>
        <v>Noiembrie2017*)</v>
      </c>
      <c r="AP76" s="196">
        <f t="shared" si="29"/>
        <v>2017</v>
      </c>
      <c r="AQ76" s="196" t="str">
        <f t="shared" si="29"/>
        <v>Ianuarie 2018*)</v>
      </c>
      <c r="AR76" s="196" t="str">
        <f t="shared" si="29"/>
        <v>Februarie 2018*)</v>
      </c>
      <c r="AS76" s="196" t="str">
        <f t="shared" si="29"/>
        <v>Martie 2018*) </v>
      </c>
      <c r="AT76" s="196" t="str">
        <f t="shared" si="29"/>
        <v>Aprilie 2018*)</v>
      </c>
      <c r="AU76" s="196" t="str">
        <f t="shared" si="29"/>
        <v>Mai 2018*)</v>
      </c>
      <c r="AV76" s="196" t="str">
        <f t="shared" si="29"/>
        <v>June 2018*)</v>
      </c>
      <c r="AW76" s="196" t="str">
        <f t="shared" si="29"/>
        <v>Iulie 2018*)</v>
      </c>
      <c r="AX76" s="196" t="str">
        <f t="shared" si="29"/>
        <v>August 2018*) </v>
      </c>
      <c r="AY76" s="196" t="str">
        <f t="shared" si="29"/>
        <v>Septembrie 2018*) </v>
      </c>
      <c r="AZ76" s="196" t="str">
        <f t="shared" si="29"/>
        <v>Octombrie 2018*) </v>
      </c>
      <c r="BA76" s="196" t="str">
        <f t="shared" si="29"/>
        <v>Noiembrie 2018*) </v>
      </c>
      <c r="BB76" s="196" t="str">
        <f t="shared" si="29"/>
        <v>Decembrie 2018*) </v>
      </c>
      <c r="BC76" s="196" t="str">
        <f>BC9</f>
        <v>Ianuarie 2019*) </v>
      </c>
      <c r="BD76" s="196" t="str">
        <f>BD9</f>
        <v> Februarie 2019**) </v>
      </c>
      <c r="BE76" s="196" t="str">
        <f>BE9</f>
        <v>Martie 2019**) </v>
      </c>
      <c r="BF76" s="196" t="str">
        <f>BF9</f>
        <v>Aprilie 2019**) </v>
      </c>
      <c r="BG76" s="197" t="str">
        <f>BG9</f>
        <v>Mai 2019**) </v>
      </c>
    </row>
    <row r="77" spans="1:59" ht="24" customHeight="1">
      <c r="A77" s="199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7"/>
    </row>
    <row r="78" spans="1:63" ht="36.75" customHeight="1">
      <c r="A78" s="199"/>
      <c r="B78" s="72">
        <f>B85+B86+B88</f>
        <v>81930.73999999999</v>
      </c>
      <c r="C78" s="72">
        <f aca="true" t="shared" si="30" ref="C78:BE78">C82+C83</f>
        <v>98163.52</v>
      </c>
      <c r="D78" s="3">
        <f t="shared" si="30"/>
        <v>108502.59</v>
      </c>
      <c r="E78" s="3">
        <f t="shared" si="30"/>
        <v>108738.00000000001</v>
      </c>
      <c r="F78" s="3">
        <f t="shared" si="30"/>
        <v>125539.68</v>
      </c>
      <c r="G78" s="3">
        <f t="shared" si="30"/>
        <v>129476.6</v>
      </c>
      <c r="H78" s="3">
        <f t="shared" si="30"/>
        <v>135114.21</v>
      </c>
      <c r="I78" s="3">
        <f t="shared" si="30"/>
        <v>129963.90000000001</v>
      </c>
      <c r="J78" s="3">
        <f t="shared" si="30"/>
        <v>126796.98999999999</v>
      </c>
      <c r="K78" s="3">
        <f t="shared" si="30"/>
        <v>131985.4</v>
      </c>
      <c r="L78" s="3">
        <f t="shared" si="30"/>
        <v>129445.76999999999</v>
      </c>
      <c r="M78" s="3">
        <f t="shared" si="30"/>
        <v>128583.18999999999</v>
      </c>
      <c r="N78" s="3">
        <f t="shared" si="30"/>
        <v>130332.19</v>
      </c>
      <c r="O78" s="3">
        <f t="shared" si="30"/>
        <v>130388.8</v>
      </c>
      <c r="P78" s="3">
        <f t="shared" si="30"/>
        <v>131327.09</v>
      </c>
      <c r="Q78" s="3">
        <f t="shared" si="30"/>
        <v>133560.21</v>
      </c>
      <c r="R78" s="3">
        <f>R82+R83</f>
        <v>136081.75</v>
      </c>
      <c r="S78" s="3">
        <f t="shared" si="30"/>
        <v>134126.80000000002</v>
      </c>
      <c r="T78" s="3">
        <f t="shared" si="30"/>
        <v>136968.40000000002</v>
      </c>
      <c r="U78" s="3">
        <f t="shared" si="30"/>
        <v>134143.30000000002</v>
      </c>
      <c r="V78" s="3">
        <f t="shared" si="30"/>
        <v>143168.19999999998</v>
      </c>
      <c r="W78" s="3">
        <f t="shared" si="30"/>
        <v>141265.9</v>
      </c>
      <c r="X78" s="3">
        <f t="shared" si="30"/>
        <v>137625.9</v>
      </c>
      <c r="Y78" s="3">
        <f t="shared" si="30"/>
        <v>143550.2</v>
      </c>
      <c r="Z78" s="3">
        <f t="shared" si="30"/>
        <v>134333.6</v>
      </c>
      <c r="AA78" s="3">
        <f t="shared" si="30"/>
        <v>137676</v>
      </c>
      <c r="AB78" s="3">
        <f t="shared" si="30"/>
        <v>142483.3</v>
      </c>
      <c r="AC78" s="3">
        <f t="shared" si="30"/>
        <v>145841.1</v>
      </c>
      <c r="AD78" s="3">
        <f t="shared" si="30"/>
        <v>148285</v>
      </c>
      <c r="AE78" s="3">
        <f t="shared" si="30"/>
        <v>147027.80000000002</v>
      </c>
      <c r="AF78" s="3">
        <f t="shared" si="30"/>
        <v>149510.7</v>
      </c>
      <c r="AG78" s="3">
        <f t="shared" si="30"/>
        <v>150296.6</v>
      </c>
      <c r="AH78" s="3">
        <f t="shared" si="30"/>
        <v>154324.5</v>
      </c>
      <c r="AI78" s="3">
        <f t="shared" si="30"/>
        <v>154966.2</v>
      </c>
      <c r="AJ78" s="3">
        <f t="shared" si="30"/>
        <v>152667.7</v>
      </c>
      <c r="AK78" s="3">
        <f t="shared" si="30"/>
        <v>150629.8</v>
      </c>
      <c r="AL78" s="3">
        <f t="shared" si="30"/>
        <v>151824.90000000002</v>
      </c>
      <c r="AM78" s="3">
        <f t="shared" si="30"/>
        <v>153187.65000000002</v>
      </c>
      <c r="AN78" s="3">
        <f t="shared" si="30"/>
        <v>154121.69999999998</v>
      </c>
      <c r="AO78" s="3">
        <f t="shared" si="30"/>
        <v>155788.50000000003</v>
      </c>
      <c r="AP78" s="3">
        <f t="shared" si="30"/>
        <v>155029</v>
      </c>
      <c r="AQ78" s="3">
        <f t="shared" si="30"/>
        <v>148473.2</v>
      </c>
      <c r="AR78" s="3">
        <f t="shared" si="30"/>
        <v>151902.5</v>
      </c>
      <c r="AS78" s="3">
        <f t="shared" si="30"/>
        <v>153658</v>
      </c>
      <c r="AT78" s="3">
        <f t="shared" si="30"/>
        <v>155482.7</v>
      </c>
      <c r="AU78" s="3">
        <f t="shared" si="30"/>
        <v>156906.49999999997</v>
      </c>
      <c r="AV78" s="3">
        <f t="shared" si="30"/>
        <v>157384</v>
      </c>
      <c r="AW78" s="3">
        <f t="shared" si="30"/>
        <v>157906.80000000002</v>
      </c>
      <c r="AX78" s="3">
        <f t="shared" si="30"/>
        <v>162892.9</v>
      </c>
      <c r="AY78" s="3">
        <f t="shared" si="30"/>
        <v>165551.1</v>
      </c>
      <c r="AZ78" s="3">
        <f t="shared" si="30"/>
        <v>172236.60000000003</v>
      </c>
      <c r="BA78" s="3">
        <f t="shared" si="30"/>
        <v>170009.09999999998</v>
      </c>
      <c r="BB78" s="3">
        <f t="shared" si="30"/>
        <v>172246.1</v>
      </c>
      <c r="BC78" s="3">
        <f t="shared" si="30"/>
        <v>170978.2</v>
      </c>
      <c r="BD78" s="3">
        <f t="shared" si="30"/>
        <v>167224.89999999997</v>
      </c>
      <c r="BE78" s="3">
        <f t="shared" si="30"/>
        <v>171096.09999999998</v>
      </c>
      <c r="BF78" s="3">
        <f>BF82+BF83</f>
        <v>169353.40000000002</v>
      </c>
      <c r="BG78" s="134">
        <f>BG82+BG83</f>
        <v>175656.1</v>
      </c>
      <c r="BH78" s="120"/>
      <c r="BI78" s="73"/>
      <c r="BJ78" s="27"/>
      <c r="BK78" s="74"/>
    </row>
    <row r="79" spans="1:61" s="76" customFormat="1" ht="12.75">
      <c r="A79" s="34" t="s">
        <v>3</v>
      </c>
      <c r="B79" s="35">
        <f aca="true" t="shared" si="31" ref="B79:AK79">B78/B69</f>
        <v>0.15469604851743876</v>
      </c>
      <c r="C79" s="35">
        <f t="shared" si="31"/>
        <v>0.17464891773505414</v>
      </c>
      <c r="D79" s="35">
        <f t="shared" si="31"/>
        <v>0.18224488424786728</v>
      </c>
      <c r="E79" s="35">
        <f t="shared" si="31"/>
        <v>0.1705811852112146</v>
      </c>
      <c r="F79" s="35">
        <f t="shared" si="31"/>
        <v>0.18776780986852928</v>
      </c>
      <c r="G79" s="35">
        <f t="shared" si="31"/>
        <v>0.19422354294766117</v>
      </c>
      <c r="H79" s="35">
        <f t="shared" si="31"/>
        <v>0.20268033427487522</v>
      </c>
      <c r="I79" s="35">
        <f t="shared" si="31"/>
        <v>0.1921640922093816</v>
      </c>
      <c r="J79" s="35">
        <f t="shared" si="31"/>
        <v>0.18512782372259132</v>
      </c>
      <c r="K79" s="35">
        <f t="shared" si="31"/>
        <v>0.19270307493226538</v>
      </c>
      <c r="L79" s="35">
        <f t="shared" si="31"/>
        <v>0.18899513064304682</v>
      </c>
      <c r="M79" s="35">
        <f t="shared" si="31"/>
        <v>0.18773573514646102</v>
      </c>
      <c r="N79" s="35">
        <f t="shared" si="31"/>
        <v>0.1902893333327493</v>
      </c>
      <c r="O79" s="35">
        <f t="shared" si="31"/>
        <v>0.1903719858160688</v>
      </c>
      <c r="P79" s="35">
        <f t="shared" si="31"/>
        <v>0.19174192043139893</v>
      </c>
      <c r="Q79" s="35">
        <f t="shared" si="31"/>
        <v>0.1915555213253625</v>
      </c>
      <c r="R79" s="35">
        <f t="shared" si="31"/>
        <v>0.19096834355897097</v>
      </c>
      <c r="S79" s="35">
        <f t="shared" si="31"/>
        <v>0.18816891133557803</v>
      </c>
      <c r="T79" s="35">
        <f t="shared" si="31"/>
        <v>0.19215544332211001</v>
      </c>
      <c r="U79" s="35">
        <f t="shared" si="31"/>
        <v>0.18638233615771446</v>
      </c>
      <c r="V79" s="35">
        <f t="shared" si="31"/>
        <v>0.1942029217482742</v>
      </c>
      <c r="W79" s="35">
        <f t="shared" si="31"/>
        <v>0.19162251480007103</v>
      </c>
      <c r="X79" s="35">
        <f t="shared" si="31"/>
        <v>0.18668497535231854</v>
      </c>
      <c r="Y79" s="35">
        <f t="shared" si="31"/>
        <v>0.194721092096912</v>
      </c>
      <c r="Z79" s="35">
        <f t="shared" si="31"/>
        <v>0.18221907943917692</v>
      </c>
      <c r="AA79" s="35">
        <f t="shared" si="31"/>
        <v>0.1839053314192446</v>
      </c>
      <c r="AB79" s="35">
        <f t="shared" si="31"/>
        <v>0.19032684351817056</v>
      </c>
      <c r="AC79" s="35">
        <f t="shared" si="31"/>
        <v>0.19481213740991307</v>
      </c>
      <c r="AD79" s="35">
        <f>AD78/AD69</f>
        <v>0.19380240088350423</v>
      </c>
      <c r="AE79" s="35">
        <f t="shared" si="31"/>
        <v>0.19308325331304987</v>
      </c>
      <c r="AF79" s="35">
        <f t="shared" si="31"/>
        <v>0.19634390476570693</v>
      </c>
      <c r="AG79" s="35">
        <f t="shared" si="31"/>
        <v>0.191712085048109</v>
      </c>
      <c r="AH79" s="35">
        <f t="shared" si="31"/>
        <v>0.19684990657810553</v>
      </c>
      <c r="AI79" s="35">
        <f t="shared" si="31"/>
        <v>0.1976684323795899</v>
      </c>
      <c r="AJ79" s="35">
        <f t="shared" si="31"/>
        <v>0.1905668785356574</v>
      </c>
      <c r="AK79" s="35" t="e">
        <f t="shared" si="31"/>
        <v>#DIV/0!</v>
      </c>
      <c r="AL79" s="35">
        <f>AL78/AL69</f>
        <v>0.18951485662643988</v>
      </c>
      <c r="AM79" s="35">
        <f>AM78/AM69</f>
        <v>0.18453199659720623</v>
      </c>
      <c r="AN79" s="35">
        <f>AN78/AN69</f>
        <v>0.1856571663574422</v>
      </c>
      <c r="AO79" s="35">
        <f>AO78/AO69</f>
        <v>0.18766501706817662</v>
      </c>
      <c r="AP79" s="35">
        <f>AP78/AP69</f>
        <v>0.18096066300922142</v>
      </c>
      <c r="AQ79" s="35">
        <f aca="true" t="shared" si="32" ref="AQ79:BG79">AQ78/AQ69</f>
        <v>0.17291275844350892</v>
      </c>
      <c r="AR79" s="35">
        <f t="shared" si="32"/>
        <v>0.17690654131159772</v>
      </c>
      <c r="AS79" s="35">
        <f t="shared" si="32"/>
        <v>0.1758453383155683</v>
      </c>
      <c r="AT79" s="35">
        <f t="shared" si="32"/>
        <v>0.1779335145825015</v>
      </c>
      <c r="AU79" s="35">
        <f t="shared" si="32"/>
        <v>0.17956290317726192</v>
      </c>
      <c r="AV79" s="35">
        <f t="shared" si="32"/>
        <v>0.17624140763787421</v>
      </c>
      <c r="AW79" s="35">
        <f t="shared" si="32"/>
        <v>0.17682684839368853</v>
      </c>
      <c r="AX79" s="35">
        <f t="shared" si="32"/>
        <v>0.18241037202139657</v>
      </c>
      <c r="AY79" s="35">
        <f t="shared" si="32"/>
        <v>0.1803478866374815</v>
      </c>
      <c r="AZ79" s="35">
        <f t="shared" si="32"/>
        <v>0.18763092973483866</v>
      </c>
      <c r="BA79" s="35">
        <f t="shared" si="32"/>
        <v>0.18520433808135525</v>
      </c>
      <c r="BB79" s="35">
        <f t="shared" si="32"/>
        <v>0.18242153684066495</v>
      </c>
      <c r="BC79" s="35">
        <f t="shared" si="32"/>
        <v>0.1766627661580507</v>
      </c>
      <c r="BD79" s="35">
        <f t="shared" si="32"/>
        <v>0.17278467900880584</v>
      </c>
      <c r="BE79" s="35">
        <f t="shared" si="32"/>
        <v>0.17678458601654745</v>
      </c>
      <c r="BF79" s="35">
        <f t="shared" si="32"/>
        <v>0.17498394591983554</v>
      </c>
      <c r="BG79" s="135">
        <f t="shared" si="32"/>
        <v>0.18149619377520157</v>
      </c>
      <c r="BH79" s="121"/>
      <c r="BI79" s="75"/>
    </row>
    <row r="80" spans="1:59" ht="27.75" customHeight="1">
      <c r="A80" s="145" t="s">
        <v>36</v>
      </c>
      <c r="B80" s="72"/>
      <c r="C80" s="72"/>
      <c r="D80" s="3"/>
      <c r="E80" s="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136"/>
    </row>
    <row r="81" spans="1:59" ht="12.75">
      <c r="A81" s="21" t="s">
        <v>5</v>
      </c>
      <c r="B81" s="6"/>
      <c r="C81" s="6"/>
      <c r="D81" s="2"/>
      <c r="E81" s="2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136"/>
    </row>
    <row r="82" spans="1:59" ht="12.75">
      <c r="A82" s="21" t="s">
        <v>6</v>
      </c>
      <c r="B82" s="8">
        <f aca="true" t="shared" si="33" ref="B82:BE83">B114+B98</f>
        <v>32938.04</v>
      </c>
      <c r="C82" s="8">
        <f t="shared" si="33"/>
        <v>36286.020000000004</v>
      </c>
      <c r="D82" s="4">
        <f t="shared" si="33"/>
        <v>29176.43</v>
      </c>
      <c r="E82" s="4">
        <f t="shared" si="33"/>
        <v>13348.6</v>
      </c>
      <c r="F82" s="4">
        <f t="shared" si="33"/>
        <v>16635.08</v>
      </c>
      <c r="G82" s="4">
        <f t="shared" si="33"/>
        <v>16073.029999999997</v>
      </c>
      <c r="H82" s="4">
        <f t="shared" si="33"/>
        <v>18456.9</v>
      </c>
      <c r="I82" s="4">
        <f t="shared" si="33"/>
        <v>15285.7</v>
      </c>
      <c r="J82" s="4">
        <f t="shared" si="33"/>
        <v>16531.989999999998</v>
      </c>
      <c r="K82" s="4">
        <f t="shared" si="33"/>
        <v>16173.48</v>
      </c>
      <c r="L82" s="4">
        <f t="shared" si="33"/>
        <v>14806.390000000001</v>
      </c>
      <c r="M82" s="4">
        <f t="shared" si="33"/>
        <v>15209.359999999999</v>
      </c>
      <c r="N82" s="4">
        <f t="shared" si="33"/>
        <v>15697.13</v>
      </c>
      <c r="O82" s="4">
        <f t="shared" si="33"/>
        <v>15311.240000000002</v>
      </c>
      <c r="P82" s="4">
        <f t="shared" si="33"/>
        <v>17304.78</v>
      </c>
      <c r="Q82" s="4">
        <f t="shared" si="33"/>
        <v>17642.66</v>
      </c>
      <c r="R82" s="4">
        <f t="shared" si="33"/>
        <v>17022.08</v>
      </c>
      <c r="S82" s="4">
        <f t="shared" si="33"/>
        <v>15331.929999999998</v>
      </c>
      <c r="T82" s="4">
        <f t="shared" si="33"/>
        <v>17182</v>
      </c>
      <c r="U82" s="4">
        <f t="shared" si="33"/>
        <v>14259.2</v>
      </c>
      <c r="V82" s="4">
        <f t="shared" si="33"/>
        <v>16187.9</v>
      </c>
      <c r="W82" s="4">
        <f t="shared" si="33"/>
        <v>16152.800000000001</v>
      </c>
      <c r="X82" s="4">
        <f t="shared" si="33"/>
        <v>15585.800000000001</v>
      </c>
      <c r="Y82" s="4">
        <f t="shared" si="33"/>
        <v>17079.7</v>
      </c>
      <c r="Z82" s="4">
        <f t="shared" si="33"/>
        <v>16706.100000000002</v>
      </c>
      <c r="AA82" s="4">
        <f t="shared" si="33"/>
        <v>16795.600000000002</v>
      </c>
      <c r="AB82" s="4">
        <f t="shared" si="33"/>
        <v>17229.3</v>
      </c>
      <c r="AC82" s="4">
        <f t="shared" si="33"/>
        <v>17677.2</v>
      </c>
      <c r="AD82" s="4">
        <f t="shared" si="33"/>
        <v>19162.100000000002</v>
      </c>
      <c r="AE82" s="4">
        <f t="shared" si="33"/>
        <v>15881.1</v>
      </c>
      <c r="AF82" s="4">
        <f t="shared" si="33"/>
        <v>16064.3</v>
      </c>
      <c r="AG82" s="4">
        <f t="shared" si="33"/>
        <v>16060.9</v>
      </c>
      <c r="AH82" s="4">
        <f t="shared" si="33"/>
        <v>16494</v>
      </c>
      <c r="AI82" s="4">
        <f t="shared" si="33"/>
        <v>15008.2</v>
      </c>
      <c r="AJ82" s="4">
        <f t="shared" si="33"/>
        <v>16101.100000000002</v>
      </c>
      <c r="AK82" s="4">
        <f t="shared" si="33"/>
        <v>17725</v>
      </c>
      <c r="AL82" s="4">
        <f t="shared" si="33"/>
        <v>16162.199999999999</v>
      </c>
      <c r="AM82" s="4">
        <f t="shared" si="33"/>
        <v>15816.900000000001</v>
      </c>
      <c r="AN82" s="4">
        <f t="shared" si="33"/>
        <v>15716.2</v>
      </c>
      <c r="AO82" s="4">
        <f t="shared" si="33"/>
        <v>15442</v>
      </c>
      <c r="AP82" s="4">
        <f t="shared" si="33"/>
        <v>14854.740000000002</v>
      </c>
      <c r="AQ82" s="4">
        <f t="shared" si="33"/>
        <v>12237.640000000001</v>
      </c>
      <c r="AR82" s="4">
        <f t="shared" si="33"/>
        <v>11821.7</v>
      </c>
      <c r="AS82" s="4">
        <f t="shared" si="33"/>
        <v>10510.64</v>
      </c>
      <c r="AT82" s="4">
        <f t="shared" si="33"/>
        <v>9722.24</v>
      </c>
      <c r="AU82" s="4">
        <f t="shared" si="33"/>
        <v>9394.54</v>
      </c>
      <c r="AV82" s="4">
        <f t="shared" si="33"/>
        <v>10152</v>
      </c>
      <c r="AW82" s="4">
        <f t="shared" si="33"/>
        <v>8262.2</v>
      </c>
      <c r="AX82" s="4">
        <f t="shared" si="33"/>
        <v>8411.3</v>
      </c>
      <c r="AY82" s="4">
        <f t="shared" si="33"/>
        <v>9017.2</v>
      </c>
      <c r="AZ82" s="4">
        <f t="shared" si="33"/>
        <v>10387.5</v>
      </c>
      <c r="BA82" s="4">
        <f t="shared" si="33"/>
        <v>11674.6</v>
      </c>
      <c r="BB82" s="4">
        <f t="shared" si="33"/>
        <v>10690</v>
      </c>
      <c r="BC82" s="4">
        <f t="shared" si="33"/>
        <v>9622.6</v>
      </c>
      <c r="BD82" s="4">
        <f t="shared" si="33"/>
        <v>9652.400000000001</v>
      </c>
      <c r="BE82" s="4">
        <f t="shared" si="33"/>
        <v>9554.300000000001</v>
      </c>
      <c r="BF82" s="4">
        <f>BF114+BF98</f>
        <v>10170.2</v>
      </c>
      <c r="BG82" s="136">
        <f>BG114+BG98</f>
        <v>10178.699999999999</v>
      </c>
    </row>
    <row r="83" spans="1:59" ht="12.75">
      <c r="A83" s="21" t="s">
        <v>7</v>
      </c>
      <c r="B83" s="8">
        <f t="shared" si="33"/>
        <v>48992.64000000001</v>
      </c>
      <c r="C83" s="8">
        <f t="shared" si="33"/>
        <v>61877.5</v>
      </c>
      <c r="D83" s="4">
        <f t="shared" si="33"/>
        <v>79326.16</v>
      </c>
      <c r="E83" s="4">
        <f t="shared" si="33"/>
        <v>95389.40000000001</v>
      </c>
      <c r="F83" s="4">
        <f t="shared" si="33"/>
        <v>108904.59999999999</v>
      </c>
      <c r="G83" s="4">
        <f t="shared" si="33"/>
        <v>113403.57</v>
      </c>
      <c r="H83" s="4">
        <f t="shared" si="33"/>
        <v>116657.30999999998</v>
      </c>
      <c r="I83" s="4">
        <f t="shared" si="33"/>
        <v>114678.20000000001</v>
      </c>
      <c r="J83" s="4">
        <f t="shared" si="33"/>
        <v>110265</v>
      </c>
      <c r="K83" s="4">
        <f t="shared" si="33"/>
        <v>115811.91999999998</v>
      </c>
      <c r="L83" s="4">
        <f t="shared" si="33"/>
        <v>114639.37999999999</v>
      </c>
      <c r="M83" s="4">
        <f t="shared" si="33"/>
        <v>113373.82999999999</v>
      </c>
      <c r="N83" s="4">
        <f t="shared" si="33"/>
        <v>114635.06</v>
      </c>
      <c r="O83" s="4">
        <f t="shared" si="33"/>
        <v>115077.56</v>
      </c>
      <c r="P83" s="4">
        <f t="shared" si="33"/>
        <v>114022.31</v>
      </c>
      <c r="Q83" s="4">
        <f t="shared" si="33"/>
        <v>115917.55</v>
      </c>
      <c r="R83" s="4">
        <f>R115+R99</f>
        <v>119059.67</v>
      </c>
      <c r="S83" s="4">
        <f t="shared" si="33"/>
        <v>118794.87000000002</v>
      </c>
      <c r="T83" s="4">
        <f t="shared" si="33"/>
        <v>119786.40000000001</v>
      </c>
      <c r="U83" s="4">
        <f t="shared" si="33"/>
        <v>119884.1</v>
      </c>
      <c r="V83" s="4">
        <f t="shared" si="33"/>
        <v>126980.29999999999</v>
      </c>
      <c r="W83" s="4">
        <f t="shared" si="33"/>
        <v>125113.09999999999</v>
      </c>
      <c r="X83" s="4">
        <f t="shared" si="33"/>
        <v>122040.1</v>
      </c>
      <c r="Y83" s="4">
        <f t="shared" si="33"/>
        <v>126470.5</v>
      </c>
      <c r="Z83" s="4">
        <f t="shared" si="33"/>
        <v>117627.5</v>
      </c>
      <c r="AA83" s="4">
        <f t="shared" si="33"/>
        <v>120880.40000000001</v>
      </c>
      <c r="AB83" s="4">
        <f t="shared" si="33"/>
        <v>125254</v>
      </c>
      <c r="AC83" s="4">
        <f t="shared" si="33"/>
        <v>128163.9</v>
      </c>
      <c r="AD83" s="4">
        <f t="shared" si="33"/>
        <v>129122.9</v>
      </c>
      <c r="AE83" s="4">
        <f t="shared" si="33"/>
        <v>131146.7</v>
      </c>
      <c r="AF83" s="4">
        <f t="shared" si="33"/>
        <v>133446.40000000002</v>
      </c>
      <c r="AG83" s="4">
        <f t="shared" si="33"/>
        <v>134235.7</v>
      </c>
      <c r="AH83" s="4">
        <f t="shared" si="33"/>
        <v>137830.5</v>
      </c>
      <c r="AI83" s="4">
        <f t="shared" si="33"/>
        <v>139958</v>
      </c>
      <c r="AJ83" s="4">
        <f t="shared" si="33"/>
        <v>136566.6</v>
      </c>
      <c r="AK83" s="4">
        <f t="shared" si="33"/>
        <v>132904.8</v>
      </c>
      <c r="AL83" s="4">
        <f t="shared" si="33"/>
        <v>135662.7</v>
      </c>
      <c r="AM83" s="4">
        <f t="shared" si="33"/>
        <v>137370.75000000003</v>
      </c>
      <c r="AN83" s="4">
        <f t="shared" si="33"/>
        <v>138405.49999999997</v>
      </c>
      <c r="AO83" s="4">
        <f t="shared" si="33"/>
        <v>140346.50000000003</v>
      </c>
      <c r="AP83" s="4">
        <f t="shared" si="33"/>
        <v>140174.26</v>
      </c>
      <c r="AQ83" s="4">
        <f t="shared" si="33"/>
        <v>136235.56</v>
      </c>
      <c r="AR83" s="4">
        <f t="shared" si="33"/>
        <v>140080.8</v>
      </c>
      <c r="AS83" s="4">
        <f t="shared" si="33"/>
        <v>143147.36</v>
      </c>
      <c r="AT83" s="4">
        <f t="shared" si="33"/>
        <v>145760.46000000002</v>
      </c>
      <c r="AU83" s="4">
        <f t="shared" si="33"/>
        <v>147511.95999999996</v>
      </c>
      <c r="AV83" s="4">
        <f t="shared" si="33"/>
        <v>147232</v>
      </c>
      <c r="AW83" s="4">
        <f t="shared" si="33"/>
        <v>149644.6</v>
      </c>
      <c r="AX83" s="4">
        <f t="shared" si="33"/>
        <v>154481.6</v>
      </c>
      <c r="AY83" s="4">
        <f t="shared" si="33"/>
        <v>156533.9</v>
      </c>
      <c r="AZ83" s="4">
        <f t="shared" si="33"/>
        <v>161849.10000000003</v>
      </c>
      <c r="BA83" s="4">
        <f t="shared" si="33"/>
        <v>158334.49999999997</v>
      </c>
      <c r="BB83" s="4">
        <f t="shared" si="33"/>
        <v>161556.1</v>
      </c>
      <c r="BC83" s="4">
        <f t="shared" si="33"/>
        <v>161355.6</v>
      </c>
      <c r="BD83" s="4">
        <f t="shared" si="33"/>
        <v>157572.49999999997</v>
      </c>
      <c r="BE83" s="4">
        <f t="shared" si="33"/>
        <v>161541.8</v>
      </c>
      <c r="BF83" s="4">
        <f>BF115+BF99</f>
        <v>159183.2</v>
      </c>
      <c r="BG83" s="136">
        <f>BG115+BG99</f>
        <v>165477.4</v>
      </c>
    </row>
    <row r="84" spans="1:59" ht="12.75">
      <c r="A84" s="21" t="s">
        <v>8</v>
      </c>
      <c r="B84" s="77">
        <f>B85+B86+B88</f>
        <v>81930.73999999999</v>
      </c>
      <c r="C84" s="77">
        <f>C85+C86+C88</f>
        <v>98163.47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136"/>
    </row>
    <row r="85" spans="1:59" ht="12.75">
      <c r="A85" s="21" t="s">
        <v>9</v>
      </c>
      <c r="B85" s="7">
        <f aca="true" t="shared" si="34" ref="B85:BE85">B101</f>
        <v>4677.09</v>
      </c>
      <c r="C85" s="7">
        <f t="shared" si="34"/>
        <v>6397.57</v>
      </c>
      <c r="D85" s="4">
        <f t="shared" si="34"/>
        <v>4987.21</v>
      </c>
      <c r="E85" s="4">
        <f t="shared" si="34"/>
        <v>4222.3</v>
      </c>
      <c r="F85" s="4">
        <f t="shared" si="34"/>
        <v>6754.68</v>
      </c>
      <c r="G85" s="4">
        <f t="shared" si="34"/>
        <v>5112.03</v>
      </c>
      <c r="H85" s="4">
        <f t="shared" si="34"/>
        <v>6445.56</v>
      </c>
      <c r="I85" s="4">
        <f t="shared" si="34"/>
        <v>4098.3</v>
      </c>
      <c r="J85" s="4">
        <f t="shared" si="34"/>
        <v>4046.5</v>
      </c>
      <c r="K85" s="4">
        <f t="shared" si="34"/>
        <v>4402.4</v>
      </c>
      <c r="L85" s="4">
        <f t="shared" si="34"/>
        <v>5104.59</v>
      </c>
      <c r="M85" s="4">
        <f t="shared" si="34"/>
        <v>5066.69</v>
      </c>
      <c r="N85" s="4">
        <f t="shared" si="34"/>
        <v>5816.11</v>
      </c>
      <c r="O85" s="4">
        <f t="shared" si="34"/>
        <v>6324.2</v>
      </c>
      <c r="P85" s="4">
        <f t="shared" si="34"/>
        <v>6187.62</v>
      </c>
      <c r="Q85" s="4">
        <f t="shared" si="34"/>
        <v>7210.92</v>
      </c>
      <c r="R85" s="4">
        <f t="shared" si="34"/>
        <v>8752.65</v>
      </c>
      <c r="S85" s="4">
        <f t="shared" si="34"/>
        <v>4372.6</v>
      </c>
      <c r="T85" s="4">
        <f t="shared" si="34"/>
        <v>5521.1</v>
      </c>
      <c r="U85" s="4">
        <f t="shared" si="34"/>
        <v>4757</v>
      </c>
      <c r="V85" s="4">
        <f t="shared" si="34"/>
        <v>5041.7</v>
      </c>
      <c r="W85" s="4">
        <f t="shared" si="34"/>
        <v>5135.7</v>
      </c>
      <c r="X85" s="4">
        <f t="shared" si="34"/>
        <v>4941.7</v>
      </c>
      <c r="Y85" s="4">
        <f t="shared" si="34"/>
        <v>5303.6</v>
      </c>
      <c r="Z85" s="4">
        <f t="shared" si="34"/>
        <v>5096.5</v>
      </c>
      <c r="AA85" s="4">
        <f t="shared" si="34"/>
        <v>5643.1</v>
      </c>
      <c r="AB85" s="4">
        <f t="shared" si="34"/>
        <v>5985.2</v>
      </c>
      <c r="AC85" s="4">
        <f t="shared" si="34"/>
        <v>6648.3</v>
      </c>
      <c r="AD85" s="4">
        <f t="shared" si="34"/>
        <v>8408.5</v>
      </c>
      <c r="AE85" s="4">
        <f t="shared" si="34"/>
        <v>5347.6</v>
      </c>
      <c r="AF85" s="4">
        <f t="shared" si="34"/>
        <v>4856.1</v>
      </c>
      <c r="AG85" s="4">
        <f t="shared" si="34"/>
        <v>5046.6</v>
      </c>
      <c r="AH85" s="4">
        <f t="shared" si="34"/>
        <v>5592.3</v>
      </c>
      <c r="AI85" s="4">
        <f t="shared" si="34"/>
        <v>5395.2</v>
      </c>
      <c r="AJ85" s="4">
        <f t="shared" si="34"/>
        <v>6030.7</v>
      </c>
      <c r="AK85" s="4">
        <f t="shared" si="34"/>
        <v>6250.1</v>
      </c>
      <c r="AL85" s="4">
        <f t="shared" si="34"/>
        <v>5955.6</v>
      </c>
      <c r="AM85" s="4">
        <f t="shared" si="34"/>
        <v>6225.2</v>
      </c>
      <c r="AN85" s="4">
        <f t="shared" si="34"/>
        <v>6913.8</v>
      </c>
      <c r="AO85" s="4">
        <f t="shared" si="34"/>
        <v>7325.2</v>
      </c>
      <c r="AP85" s="4">
        <f t="shared" si="34"/>
        <v>7411.1</v>
      </c>
      <c r="AQ85" s="4">
        <f t="shared" si="34"/>
        <v>5029.6</v>
      </c>
      <c r="AR85" s="4">
        <f t="shared" si="34"/>
        <v>5557</v>
      </c>
      <c r="AS85" s="4">
        <f t="shared" si="34"/>
        <v>5067</v>
      </c>
      <c r="AT85" s="4">
        <f t="shared" si="34"/>
        <v>5184.9</v>
      </c>
      <c r="AU85" s="4">
        <f t="shared" si="34"/>
        <v>5491.9</v>
      </c>
      <c r="AV85" s="4">
        <f t="shared" si="34"/>
        <v>6806.6</v>
      </c>
      <c r="AW85" s="4">
        <f t="shared" si="34"/>
        <v>5966.3</v>
      </c>
      <c r="AX85" s="4">
        <f t="shared" si="34"/>
        <v>6333.8</v>
      </c>
      <c r="AY85" s="4">
        <f t="shared" si="34"/>
        <v>6593.1</v>
      </c>
      <c r="AZ85" s="4">
        <f t="shared" si="34"/>
        <v>7551.1</v>
      </c>
      <c r="BA85" s="4">
        <f t="shared" si="34"/>
        <v>8202.6</v>
      </c>
      <c r="BB85" s="4">
        <f t="shared" si="34"/>
        <v>6953.2</v>
      </c>
      <c r="BC85" s="4">
        <f t="shared" si="34"/>
        <v>5727.3</v>
      </c>
      <c r="BD85" s="4">
        <f t="shared" si="34"/>
        <v>6199.9</v>
      </c>
      <c r="BE85" s="4">
        <f t="shared" si="34"/>
        <v>6384.5</v>
      </c>
      <c r="BF85" s="4">
        <f>BF101</f>
        <v>6871.7</v>
      </c>
      <c r="BG85" s="136">
        <f>BG101</f>
        <v>6852.8</v>
      </c>
    </row>
    <row r="86" spans="1:59" ht="12.75">
      <c r="A86" s="21" t="s">
        <v>10</v>
      </c>
      <c r="B86" s="7">
        <f aca="true" t="shared" si="35" ref="B86:BF89">B117+B102</f>
        <v>63641.079999999994</v>
      </c>
      <c r="C86" s="7">
        <f t="shared" si="35"/>
        <v>81028.75</v>
      </c>
      <c r="D86" s="4">
        <f t="shared" si="35"/>
        <v>93597.20000000001</v>
      </c>
      <c r="E86" s="4">
        <f t="shared" si="35"/>
        <v>94234.42</v>
      </c>
      <c r="F86" s="4">
        <f t="shared" si="35"/>
        <v>108068.7</v>
      </c>
      <c r="G86" s="4">
        <f t="shared" si="35"/>
        <v>115370.52</v>
      </c>
      <c r="H86" s="4">
        <f t="shared" si="35"/>
        <v>119664.81999999999</v>
      </c>
      <c r="I86" s="4">
        <f t="shared" si="35"/>
        <v>115618.8</v>
      </c>
      <c r="J86" s="4">
        <f t="shared" si="35"/>
        <v>113712.98999999999</v>
      </c>
      <c r="K86" s="4">
        <f t="shared" si="35"/>
        <v>118506.54999999999</v>
      </c>
      <c r="L86" s="4">
        <f t="shared" si="35"/>
        <v>114058.97</v>
      </c>
      <c r="M86" s="4">
        <f t="shared" si="35"/>
        <v>114573.37</v>
      </c>
      <c r="N86" s="4">
        <f t="shared" si="35"/>
        <v>115689.68</v>
      </c>
      <c r="O86" s="4">
        <f t="shared" si="35"/>
        <v>113969.5</v>
      </c>
      <c r="P86" s="4">
        <f t="shared" si="35"/>
        <v>116190.54000000001</v>
      </c>
      <c r="Q86" s="4">
        <f t="shared" si="35"/>
        <v>117667.11</v>
      </c>
      <c r="R86" s="4">
        <f t="shared" si="35"/>
        <v>117319.8</v>
      </c>
      <c r="S86" s="4">
        <f t="shared" si="35"/>
        <v>119641.70000000001</v>
      </c>
      <c r="T86" s="4">
        <f t="shared" si="35"/>
        <v>121172.8</v>
      </c>
      <c r="U86" s="4">
        <f t="shared" si="35"/>
        <v>119145.3</v>
      </c>
      <c r="V86" s="4">
        <f t="shared" si="35"/>
        <v>128020.2</v>
      </c>
      <c r="W86" s="4">
        <f t="shared" si="35"/>
        <v>126055.4</v>
      </c>
      <c r="X86" s="4">
        <f t="shared" si="35"/>
        <v>122637.8</v>
      </c>
      <c r="Y86" s="4">
        <f t="shared" si="35"/>
        <v>128617.7</v>
      </c>
      <c r="Z86" s="4">
        <f t="shared" si="35"/>
        <v>119669</v>
      </c>
      <c r="AA86" s="4">
        <f t="shared" si="35"/>
        <v>122125.5</v>
      </c>
      <c r="AB86" s="4">
        <f t="shared" si="35"/>
        <v>126987.79999999999</v>
      </c>
      <c r="AC86" s="4">
        <f t="shared" si="35"/>
        <v>129844.59999999999</v>
      </c>
      <c r="AD86" s="4">
        <f t="shared" si="35"/>
        <v>129870.1</v>
      </c>
      <c r="AE86" s="4">
        <f t="shared" si="35"/>
        <v>132264.6</v>
      </c>
      <c r="AF86" s="4">
        <f t="shared" si="35"/>
        <v>135054.4</v>
      </c>
      <c r="AG86" s="4">
        <f t="shared" si="35"/>
        <v>135013</v>
      </c>
      <c r="AH86" s="4">
        <f t="shared" si="35"/>
        <v>138893.1</v>
      </c>
      <c r="AI86" s="4">
        <f t="shared" si="35"/>
        <v>140076.4</v>
      </c>
      <c r="AJ86" s="4">
        <f t="shared" si="35"/>
        <v>137469.8</v>
      </c>
      <c r="AK86" s="4">
        <f t="shared" si="35"/>
        <v>135360.69999999998</v>
      </c>
      <c r="AL86" s="4">
        <f t="shared" si="35"/>
        <v>136932.7</v>
      </c>
      <c r="AM86" s="4">
        <f t="shared" si="35"/>
        <v>137674.25</v>
      </c>
      <c r="AN86" s="4">
        <f t="shared" si="35"/>
        <v>138264.4</v>
      </c>
      <c r="AO86" s="4">
        <f t="shared" si="35"/>
        <v>139531.8</v>
      </c>
      <c r="AP86" s="4">
        <f t="shared" si="35"/>
        <v>138597.5</v>
      </c>
      <c r="AQ86" s="4">
        <f t="shared" si="35"/>
        <v>134734.4</v>
      </c>
      <c r="AR86" s="4">
        <f t="shared" si="35"/>
        <v>137739.6</v>
      </c>
      <c r="AS86" s="4">
        <f t="shared" si="35"/>
        <v>139660.9</v>
      </c>
      <c r="AT86" s="4">
        <f t="shared" si="35"/>
        <v>141773.6</v>
      </c>
      <c r="AU86" s="4">
        <f t="shared" si="35"/>
        <v>142901.9</v>
      </c>
      <c r="AV86" s="4">
        <f t="shared" si="35"/>
        <v>141735</v>
      </c>
      <c r="AW86" s="4">
        <f t="shared" si="35"/>
        <v>143419.80000000002</v>
      </c>
      <c r="AX86" s="4">
        <f t="shared" si="35"/>
        <v>147635</v>
      </c>
      <c r="AY86" s="4">
        <f t="shared" si="35"/>
        <v>150008.2</v>
      </c>
      <c r="AZ86" s="4">
        <f t="shared" si="35"/>
        <v>155905.7</v>
      </c>
      <c r="BA86" s="4">
        <f t="shared" si="35"/>
        <v>152980</v>
      </c>
      <c r="BB86" s="4">
        <f t="shared" si="35"/>
        <v>154658.19999999998</v>
      </c>
      <c r="BC86" s="4">
        <f t="shared" si="35"/>
        <v>156391.6</v>
      </c>
      <c r="BD86" s="4">
        <f t="shared" si="35"/>
        <v>152135</v>
      </c>
      <c r="BE86" s="4">
        <f t="shared" si="35"/>
        <v>152614.4</v>
      </c>
      <c r="BF86" s="4">
        <f t="shared" si="35"/>
        <v>153751.4</v>
      </c>
      <c r="BG86" s="136">
        <f>BG117+BG102</f>
        <v>156585.1</v>
      </c>
    </row>
    <row r="87" spans="1:59" ht="12.75">
      <c r="A87" s="60" t="s">
        <v>11</v>
      </c>
      <c r="B87" s="19">
        <f t="shared" si="35"/>
        <v>27903.55</v>
      </c>
      <c r="C87" s="19">
        <f t="shared" si="35"/>
        <v>27337.55</v>
      </c>
      <c r="D87" s="19">
        <f t="shared" si="35"/>
        <v>23809.42</v>
      </c>
      <c r="E87" s="19">
        <f t="shared" si="35"/>
        <v>8730.9</v>
      </c>
      <c r="F87" s="19">
        <f t="shared" si="35"/>
        <v>9504.1</v>
      </c>
      <c r="G87" s="19">
        <f t="shared" si="35"/>
        <v>10624.73</v>
      </c>
      <c r="H87" s="19">
        <f t="shared" si="35"/>
        <v>11667.369999999999</v>
      </c>
      <c r="I87" s="19">
        <f t="shared" si="35"/>
        <v>10730.4</v>
      </c>
      <c r="J87" s="19">
        <f t="shared" si="35"/>
        <v>12050.269999999999</v>
      </c>
      <c r="K87" s="19">
        <f t="shared" si="35"/>
        <v>11292.09</v>
      </c>
      <c r="L87" s="19">
        <f t="shared" si="35"/>
        <v>9190.43</v>
      </c>
      <c r="M87" s="19">
        <f t="shared" si="35"/>
        <v>9687.859999999999</v>
      </c>
      <c r="N87" s="19">
        <f t="shared" si="35"/>
        <v>9547.73</v>
      </c>
      <c r="O87" s="19">
        <f t="shared" si="35"/>
        <v>8501.7</v>
      </c>
      <c r="P87" s="19">
        <f t="shared" si="35"/>
        <v>10679.17</v>
      </c>
      <c r="Q87" s="19">
        <f t="shared" si="35"/>
        <v>10216.130000000001</v>
      </c>
      <c r="R87" s="19">
        <f t="shared" si="35"/>
        <v>8124.73</v>
      </c>
      <c r="S87" s="19">
        <f t="shared" si="35"/>
        <v>10724.33</v>
      </c>
      <c r="T87" s="19">
        <f t="shared" si="35"/>
        <v>11299</v>
      </c>
      <c r="U87" s="19">
        <f t="shared" si="35"/>
        <v>9094.1</v>
      </c>
      <c r="V87" s="19">
        <f t="shared" si="35"/>
        <v>10807.6</v>
      </c>
      <c r="W87" s="19">
        <f t="shared" si="35"/>
        <v>10655.7</v>
      </c>
      <c r="X87" s="19">
        <f t="shared" si="35"/>
        <v>10272.1</v>
      </c>
      <c r="Y87" s="19">
        <f t="shared" si="35"/>
        <v>11429.4</v>
      </c>
      <c r="Z87" s="19">
        <f t="shared" si="35"/>
        <v>11269.2</v>
      </c>
      <c r="AA87" s="19">
        <f t="shared" si="35"/>
        <v>10786.3</v>
      </c>
      <c r="AB87" s="19">
        <f t="shared" si="35"/>
        <v>10897.3</v>
      </c>
      <c r="AC87" s="19">
        <f t="shared" si="35"/>
        <v>10734.7</v>
      </c>
      <c r="AD87" s="19">
        <f t="shared" si="35"/>
        <v>10549.6</v>
      </c>
      <c r="AE87" s="19">
        <f t="shared" si="35"/>
        <v>10235</v>
      </c>
      <c r="AF87" s="19">
        <f t="shared" si="35"/>
        <v>10833.8</v>
      </c>
      <c r="AG87" s="19">
        <f t="shared" si="35"/>
        <v>10563.9</v>
      </c>
      <c r="AH87" s="19">
        <f t="shared" si="35"/>
        <v>10491.7</v>
      </c>
      <c r="AI87" s="19">
        <f t="shared" si="35"/>
        <v>9423.6</v>
      </c>
      <c r="AJ87" s="19">
        <f t="shared" si="35"/>
        <v>9785</v>
      </c>
      <c r="AK87" s="19">
        <f t="shared" si="35"/>
        <v>11064.4</v>
      </c>
      <c r="AL87" s="19">
        <f t="shared" si="35"/>
        <v>9849</v>
      </c>
      <c r="AM87" s="19">
        <f t="shared" si="35"/>
        <v>9125.7</v>
      </c>
      <c r="AN87" s="19">
        <f t="shared" si="35"/>
        <v>8441.7</v>
      </c>
      <c r="AO87" s="19">
        <f t="shared" si="35"/>
        <v>7776.4</v>
      </c>
      <c r="AP87" s="19">
        <f t="shared" si="35"/>
        <v>6911.34</v>
      </c>
      <c r="AQ87" s="19">
        <f t="shared" si="35"/>
        <v>6742.54</v>
      </c>
      <c r="AR87" s="19">
        <f t="shared" si="35"/>
        <v>5846.4</v>
      </c>
      <c r="AS87" s="19">
        <f t="shared" si="35"/>
        <v>4903.74</v>
      </c>
      <c r="AT87" s="19">
        <f t="shared" si="35"/>
        <v>4144.64</v>
      </c>
      <c r="AU87" s="19">
        <f t="shared" si="35"/>
        <v>3468.94</v>
      </c>
      <c r="AV87" s="19">
        <f t="shared" si="35"/>
        <v>2816.1</v>
      </c>
      <c r="AW87" s="19">
        <f t="shared" si="35"/>
        <v>1859.3</v>
      </c>
      <c r="AX87" s="19">
        <f t="shared" si="35"/>
        <v>1540.9</v>
      </c>
      <c r="AY87" s="19">
        <f t="shared" si="35"/>
        <v>1891.9</v>
      </c>
      <c r="AZ87" s="19">
        <f t="shared" si="35"/>
        <v>2399</v>
      </c>
      <c r="BA87" s="19">
        <f t="shared" si="35"/>
        <v>2990.1</v>
      </c>
      <c r="BB87" s="19">
        <f t="shared" si="35"/>
        <v>3328.3</v>
      </c>
      <c r="BC87" s="19">
        <f t="shared" si="35"/>
        <v>3417.6</v>
      </c>
      <c r="BD87" s="19">
        <f t="shared" si="35"/>
        <v>2976.8</v>
      </c>
      <c r="BE87" s="19">
        <f t="shared" si="35"/>
        <v>2598.1</v>
      </c>
      <c r="BF87" s="19">
        <f t="shared" si="35"/>
        <v>2829.3</v>
      </c>
      <c r="BG87" s="137">
        <f>BG118+BG103</f>
        <v>2700.1</v>
      </c>
    </row>
    <row r="88" spans="1:59" ht="12.75">
      <c r="A88" s="21" t="s">
        <v>12</v>
      </c>
      <c r="B88" s="7">
        <f>B119+B104</f>
        <v>13612.57</v>
      </c>
      <c r="C88" s="7">
        <f t="shared" si="35"/>
        <v>10737.15</v>
      </c>
      <c r="D88" s="4">
        <f t="shared" si="35"/>
        <v>9918.2</v>
      </c>
      <c r="E88" s="4">
        <f t="shared" si="35"/>
        <v>10281.3</v>
      </c>
      <c r="F88" s="4">
        <f t="shared" si="35"/>
        <v>10716.3</v>
      </c>
      <c r="G88" s="4">
        <f t="shared" si="35"/>
        <v>8994.050000000001</v>
      </c>
      <c r="H88" s="4">
        <f t="shared" si="35"/>
        <v>9003.83</v>
      </c>
      <c r="I88" s="4">
        <f t="shared" si="35"/>
        <v>10246.800000000001</v>
      </c>
      <c r="J88" s="4">
        <f t="shared" si="35"/>
        <v>9037.5</v>
      </c>
      <c r="K88" s="4">
        <f t="shared" si="35"/>
        <v>9076.45</v>
      </c>
      <c r="L88" s="4">
        <f t="shared" si="35"/>
        <v>10282.21</v>
      </c>
      <c r="M88" s="4">
        <f t="shared" si="35"/>
        <v>8943.130000000001</v>
      </c>
      <c r="N88" s="4">
        <f t="shared" si="35"/>
        <v>8826.4</v>
      </c>
      <c r="O88" s="4">
        <f t="shared" si="35"/>
        <v>10095.1</v>
      </c>
      <c r="P88" s="4">
        <f t="shared" si="35"/>
        <v>8948.93</v>
      </c>
      <c r="Q88" s="4">
        <f t="shared" si="35"/>
        <v>8682.18</v>
      </c>
      <c r="R88" s="4">
        <f t="shared" si="35"/>
        <v>10009.300000000001</v>
      </c>
      <c r="S88" s="4">
        <f t="shared" si="35"/>
        <v>10112.5</v>
      </c>
      <c r="T88" s="4">
        <f t="shared" si="35"/>
        <v>10274.5</v>
      </c>
      <c r="U88" s="4">
        <f t="shared" si="35"/>
        <v>10241</v>
      </c>
      <c r="V88" s="4">
        <f t="shared" si="35"/>
        <v>10106.3</v>
      </c>
      <c r="W88" s="4">
        <f t="shared" si="35"/>
        <v>10074.8</v>
      </c>
      <c r="X88" s="4">
        <f t="shared" si="35"/>
        <v>10046.400000000001</v>
      </c>
      <c r="Y88" s="4">
        <f t="shared" si="35"/>
        <v>9628.9</v>
      </c>
      <c r="Z88" s="4">
        <f t="shared" si="35"/>
        <v>9568.1</v>
      </c>
      <c r="AA88" s="4">
        <f t="shared" si="35"/>
        <v>9907.4</v>
      </c>
      <c r="AB88" s="4">
        <f t="shared" si="35"/>
        <v>9510.3</v>
      </c>
      <c r="AC88" s="4">
        <f t="shared" si="35"/>
        <v>9348.2</v>
      </c>
      <c r="AD88" s="4">
        <f t="shared" si="35"/>
        <v>10006.4</v>
      </c>
      <c r="AE88" s="4">
        <f t="shared" si="35"/>
        <v>9415.6</v>
      </c>
      <c r="AF88" s="4">
        <f t="shared" si="35"/>
        <v>9600.2</v>
      </c>
      <c r="AG88" s="4">
        <f t="shared" si="35"/>
        <v>10237</v>
      </c>
      <c r="AH88" s="4">
        <f t="shared" si="35"/>
        <v>9839.1</v>
      </c>
      <c r="AI88" s="4">
        <f t="shared" si="35"/>
        <v>9494.6</v>
      </c>
      <c r="AJ88" s="4">
        <f t="shared" si="35"/>
        <v>9167.2</v>
      </c>
      <c r="AK88" s="4">
        <f t="shared" si="35"/>
        <v>9019</v>
      </c>
      <c r="AL88" s="4">
        <f t="shared" si="35"/>
        <v>8936.6</v>
      </c>
      <c r="AM88" s="4">
        <f t="shared" si="35"/>
        <v>9288.2</v>
      </c>
      <c r="AN88" s="4">
        <f t="shared" si="35"/>
        <v>8943.5</v>
      </c>
      <c r="AO88" s="4">
        <f t="shared" si="35"/>
        <v>8931.5</v>
      </c>
      <c r="AP88" s="4">
        <f t="shared" si="35"/>
        <v>9020.4</v>
      </c>
      <c r="AQ88" s="4">
        <f t="shared" si="35"/>
        <v>8709.199999999999</v>
      </c>
      <c r="AR88" s="4">
        <f t="shared" si="35"/>
        <v>8605.9</v>
      </c>
      <c r="AS88" s="4">
        <f t="shared" si="35"/>
        <v>8930.1</v>
      </c>
      <c r="AT88" s="4">
        <f t="shared" si="35"/>
        <v>8524.2</v>
      </c>
      <c r="AU88" s="4">
        <f t="shared" si="35"/>
        <v>8512.7</v>
      </c>
      <c r="AV88" s="4">
        <f t="shared" si="35"/>
        <v>8842.4</v>
      </c>
      <c r="AW88" s="4">
        <f t="shared" si="35"/>
        <v>8520.7</v>
      </c>
      <c r="AX88" s="4">
        <f t="shared" si="35"/>
        <v>8924.1</v>
      </c>
      <c r="AY88" s="4">
        <f t="shared" si="35"/>
        <v>8949.8</v>
      </c>
      <c r="AZ88" s="4">
        <f t="shared" si="35"/>
        <v>8779.8</v>
      </c>
      <c r="BA88" s="4">
        <f t="shared" si="35"/>
        <v>8826.5</v>
      </c>
      <c r="BB88" s="4">
        <f t="shared" si="35"/>
        <v>10634.7</v>
      </c>
      <c r="BC88" s="4">
        <f t="shared" si="35"/>
        <v>8859.3</v>
      </c>
      <c r="BD88" s="4">
        <f t="shared" si="35"/>
        <v>8890</v>
      </c>
      <c r="BE88" s="4">
        <f t="shared" si="35"/>
        <v>12097.2</v>
      </c>
      <c r="BF88" s="4">
        <f t="shared" si="35"/>
        <v>8730.3</v>
      </c>
      <c r="BG88" s="136">
        <f>BG119+BG104</f>
        <v>12218.2</v>
      </c>
    </row>
    <row r="89" spans="1:59" ht="12.75">
      <c r="A89" s="60" t="s">
        <v>11</v>
      </c>
      <c r="B89" s="19">
        <f>B120+B105</f>
        <v>357.4</v>
      </c>
      <c r="C89" s="19">
        <f t="shared" si="35"/>
        <v>2550.9</v>
      </c>
      <c r="D89" s="78">
        <f t="shared" si="35"/>
        <v>379.79999999999995</v>
      </c>
      <c r="E89" s="78">
        <f t="shared" si="35"/>
        <v>395.4</v>
      </c>
      <c r="F89" s="4">
        <f t="shared" si="35"/>
        <v>376.3</v>
      </c>
      <c r="G89" s="4">
        <f t="shared" si="35"/>
        <v>336.27</v>
      </c>
      <c r="H89" s="4">
        <f t="shared" si="35"/>
        <v>343.97</v>
      </c>
      <c r="I89" s="4">
        <f t="shared" si="35"/>
        <v>457</v>
      </c>
      <c r="J89" s="4">
        <f t="shared" si="35"/>
        <v>435.22</v>
      </c>
      <c r="K89" s="4">
        <f t="shared" si="35"/>
        <v>478.98999999999995</v>
      </c>
      <c r="L89" s="4">
        <f t="shared" si="35"/>
        <v>511.37</v>
      </c>
      <c r="M89" s="4">
        <f t="shared" si="35"/>
        <v>454.81</v>
      </c>
      <c r="N89" s="4">
        <f t="shared" si="35"/>
        <v>333.29</v>
      </c>
      <c r="O89" s="4">
        <f t="shared" si="35"/>
        <v>485.34000000000003</v>
      </c>
      <c r="P89" s="4">
        <f t="shared" si="35"/>
        <v>437.98999999999995</v>
      </c>
      <c r="Q89" s="4">
        <f t="shared" si="35"/>
        <v>215.61</v>
      </c>
      <c r="R89" s="4">
        <f t="shared" si="35"/>
        <v>144.7</v>
      </c>
      <c r="S89" s="4">
        <f t="shared" si="35"/>
        <v>235</v>
      </c>
      <c r="T89" s="4">
        <f t="shared" si="35"/>
        <v>361.90000000000003</v>
      </c>
      <c r="U89" s="4">
        <f t="shared" si="35"/>
        <v>408.1</v>
      </c>
      <c r="V89" s="4">
        <f t="shared" si="35"/>
        <v>338.59999999999997</v>
      </c>
      <c r="W89" s="4">
        <f t="shared" si="35"/>
        <v>361.4</v>
      </c>
      <c r="X89" s="4">
        <f t="shared" si="35"/>
        <v>372</v>
      </c>
      <c r="Y89" s="4">
        <f t="shared" si="35"/>
        <v>346.7</v>
      </c>
      <c r="Z89" s="4">
        <f t="shared" si="35"/>
        <v>340.40000000000003</v>
      </c>
      <c r="AA89" s="4">
        <f t="shared" si="35"/>
        <v>366.2</v>
      </c>
      <c r="AB89" s="4">
        <f t="shared" si="35"/>
        <v>346.8</v>
      </c>
      <c r="AC89" s="4">
        <f t="shared" si="35"/>
        <v>294.20000000000005</v>
      </c>
      <c r="AD89" s="4">
        <f t="shared" si="35"/>
        <v>204</v>
      </c>
      <c r="AE89" s="4">
        <f t="shared" si="35"/>
        <v>298.5</v>
      </c>
      <c r="AF89" s="4">
        <f t="shared" si="35"/>
        <v>374.4</v>
      </c>
      <c r="AG89" s="4">
        <f t="shared" si="35"/>
        <v>450.40000000000003</v>
      </c>
      <c r="AH89" s="4">
        <f t="shared" si="35"/>
        <v>410</v>
      </c>
      <c r="AI89" s="4">
        <f t="shared" si="35"/>
        <v>189.39999999999998</v>
      </c>
      <c r="AJ89" s="4">
        <f t="shared" si="35"/>
        <v>285.4</v>
      </c>
      <c r="AK89" s="4">
        <f t="shared" si="35"/>
        <v>410.5</v>
      </c>
      <c r="AL89" s="4">
        <f t="shared" si="35"/>
        <v>357.6</v>
      </c>
      <c r="AM89" s="4">
        <f t="shared" si="35"/>
        <v>466</v>
      </c>
      <c r="AN89" s="4">
        <f t="shared" si="35"/>
        <v>360.7</v>
      </c>
      <c r="AO89" s="4">
        <f t="shared" si="35"/>
        <v>340.40000000000003</v>
      </c>
      <c r="AP89" s="4">
        <f t="shared" si="35"/>
        <v>532.3</v>
      </c>
      <c r="AQ89" s="4">
        <f t="shared" si="35"/>
        <v>465.5</v>
      </c>
      <c r="AR89" s="4">
        <f t="shared" si="35"/>
        <v>418.3</v>
      </c>
      <c r="AS89" s="4">
        <f t="shared" si="35"/>
        <v>539.9</v>
      </c>
      <c r="AT89" s="4">
        <f t="shared" si="35"/>
        <v>392.7</v>
      </c>
      <c r="AU89" s="4">
        <f t="shared" si="35"/>
        <v>433.7</v>
      </c>
      <c r="AV89" s="4">
        <f t="shared" si="35"/>
        <v>529.3</v>
      </c>
      <c r="AW89" s="4">
        <f t="shared" si="35"/>
        <v>436.6</v>
      </c>
      <c r="AX89" s="4">
        <f t="shared" si="35"/>
        <v>536.6</v>
      </c>
      <c r="AY89" s="4">
        <f t="shared" si="35"/>
        <v>532.2</v>
      </c>
      <c r="AZ89" s="4">
        <f t="shared" si="35"/>
        <v>437.4</v>
      </c>
      <c r="BA89" s="4">
        <f t="shared" si="35"/>
        <v>481.90000000000003</v>
      </c>
      <c r="BB89" s="4">
        <f t="shared" si="35"/>
        <v>408.5</v>
      </c>
      <c r="BC89" s="4">
        <f t="shared" si="35"/>
        <v>477.7</v>
      </c>
      <c r="BD89" s="4">
        <f t="shared" si="35"/>
        <v>475.7</v>
      </c>
      <c r="BE89" s="4">
        <f t="shared" si="35"/>
        <v>571.7</v>
      </c>
      <c r="BF89" s="4">
        <f t="shared" si="35"/>
        <v>469.2</v>
      </c>
      <c r="BG89" s="136">
        <f>BG120+BG105</f>
        <v>625.8</v>
      </c>
    </row>
    <row r="90" spans="1:59" ht="12.75">
      <c r="A90" s="21" t="s">
        <v>13</v>
      </c>
      <c r="B90" s="6"/>
      <c r="C90" s="6"/>
      <c r="D90" s="2"/>
      <c r="E90" s="2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136"/>
    </row>
    <row r="91" spans="1:61" ht="12.75">
      <c r="A91" s="21" t="s">
        <v>14</v>
      </c>
      <c r="B91" s="7">
        <f aca="true" t="shared" si="36" ref="B91:BF93">B107+B122</f>
        <v>58000.600000000006</v>
      </c>
      <c r="C91" s="7">
        <f t="shared" si="36"/>
        <v>76861.9</v>
      </c>
      <c r="D91" s="4">
        <f t="shared" si="36"/>
        <v>86267.94</v>
      </c>
      <c r="E91" s="4">
        <f t="shared" si="36"/>
        <v>84150.48</v>
      </c>
      <c r="F91" s="4">
        <f t="shared" si="36"/>
        <v>89873.40999999999</v>
      </c>
      <c r="G91" s="4">
        <f t="shared" si="36"/>
        <v>93081.8</v>
      </c>
      <c r="H91" s="4">
        <f t="shared" si="36"/>
        <v>98832.3</v>
      </c>
      <c r="I91" s="4">
        <f t="shared" si="36"/>
        <v>95990.95000000001</v>
      </c>
      <c r="J91" s="4">
        <f t="shared" si="36"/>
        <v>93001.18999999999</v>
      </c>
      <c r="K91" s="4">
        <f t="shared" si="36"/>
        <v>97766.04999999999</v>
      </c>
      <c r="L91" s="4">
        <f t="shared" si="36"/>
        <v>95675.53</v>
      </c>
      <c r="M91" s="4">
        <f t="shared" si="36"/>
        <v>99283.79000000001</v>
      </c>
      <c r="N91" s="4">
        <f t="shared" si="36"/>
        <v>100907.39</v>
      </c>
      <c r="O91" s="4">
        <f t="shared" si="36"/>
        <v>100096.7</v>
      </c>
      <c r="P91" s="4">
        <f t="shared" si="36"/>
        <v>98773.40000000001</v>
      </c>
      <c r="Q91" s="4">
        <f t="shared" si="36"/>
        <v>101473.5</v>
      </c>
      <c r="R91" s="4">
        <f t="shared" si="36"/>
        <v>102842.81</v>
      </c>
      <c r="S91" s="4">
        <f t="shared" si="36"/>
        <v>100583.13</v>
      </c>
      <c r="T91" s="4">
        <f t="shared" si="36"/>
        <v>102956.88</v>
      </c>
      <c r="U91" s="4">
        <f t="shared" si="36"/>
        <v>100143.69</v>
      </c>
      <c r="V91" s="4">
        <f t="shared" si="36"/>
        <v>109084.94</v>
      </c>
      <c r="W91" s="4">
        <f t="shared" si="36"/>
        <v>106405.56</v>
      </c>
      <c r="X91" s="4">
        <f t="shared" si="36"/>
        <v>104263.47</v>
      </c>
      <c r="Y91" s="4">
        <f t="shared" si="36"/>
        <v>111361.56</v>
      </c>
      <c r="Z91" s="4">
        <f t="shared" si="36"/>
        <v>102065.95999999999</v>
      </c>
      <c r="AA91" s="4">
        <f t="shared" si="36"/>
        <v>105568.89</v>
      </c>
      <c r="AB91" s="4">
        <f t="shared" si="36"/>
        <v>108571.45</v>
      </c>
      <c r="AC91" s="4">
        <f t="shared" si="36"/>
        <v>111581.95</v>
      </c>
      <c r="AD91" s="4">
        <f t="shared" si="36"/>
        <v>114614.68</v>
      </c>
      <c r="AE91" s="4">
        <f t="shared" si="36"/>
        <v>113487.59999999999</v>
      </c>
      <c r="AF91" s="4">
        <f t="shared" si="36"/>
        <v>115836.06</v>
      </c>
      <c r="AG91" s="4">
        <f t="shared" si="36"/>
        <v>116474.47</v>
      </c>
      <c r="AH91" s="4">
        <f t="shared" si="36"/>
        <v>119457</v>
      </c>
      <c r="AI91" s="4">
        <f t="shared" si="36"/>
        <v>120216.93</v>
      </c>
      <c r="AJ91" s="4">
        <f t="shared" si="36"/>
        <v>118074.06999999999</v>
      </c>
      <c r="AK91" s="4">
        <f t="shared" si="36"/>
        <v>115884.19</v>
      </c>
      <c r="AL91" s="4">
        <f t="shared" si="36"/>
        <v>117510.97</v>
      </c>
      <c r="AM91" s="4">
        <f t="shared" si="36"/>
        <v>119475.22</v>
      </c>
      <c r="AN91" s="4">
        <f t="shared" si="36"/>
        <v>120499.77</v>
      </c>
      <c r="AO91" s="4">
        <f t="shared" si="36"/>
        <v>121453.06</v>
      </c>
      <c r="AP91" s="4">
        <f t="shared" si="36"/>
        <v>120662.8</v>
      </c>
      <c r="AQ91" s="4">
        <f t="shared" si="36"/>
        <v>114389.81</v>
      </c>
      <c r="AR91" s="4">
        <f t="shared" si="36"/>
        <v>116935.02</v>
      </c>
      <c r="AS91" s="4">
        <f t="shared" si="36"/>
        <v>118148.36</v>
      </c>
      <c r="AT91" s="4">
        <f t="shared" si="36"/>
        <v>120186.37</v>
      </c>
      <c r="AU91" s="4">
        <f t="shared" si="36"/>
        <v>120832.37</v>
      </c>
      <c r="AV91" s="4">
        <f t="shared" si="36"/>
        <v>123427.06</v>
      </c>
      <c r="AW91" s="4">
        <f t="shared" si="36"/>
        <v>124560.35</v>
      </c>
      <c r="AX91" s="4">
        <f t="shared" si="36"/>
        <v>128694.64000000001</v>
      </c>
      <c r="AY91" s="4">
        <f t="shared" si="36"/>
        <v>128898.2</v>
      </c>
      <c r="AZ91" s="4">
        <f t="shared" si="36"/>
        <v>133961.34</v>
      </c>
      <c r="BA91" s="4">
        <f t="shared" si="36"/>
        <v>131535.16</v>
      </c>
      <c r="BB91" s="4">
        <f t="shared" si="36"/>
        <v>132416.84</v>
      </c>
      <c r="BC91" s="4">
        <f t="shared" si="36"/>
        <v>133106.66</v>
      </c>
      <c r="BD91" s="4">
        <f t="shared" si="36"/>
        <v>129708.40999999999</v>
      </c>
      <c r="BE91" s="4">
        <f t="shared" si="36"/>
        <v>133990.83</v>
      </c>
      <c r="BF91" s="4">
        <f t="shared" si="36"/>
        <v>131799.99</v>
      </c>
      <c r="BG91" s="136">
        <f>BG107+BG122</f>
        <v>136318</v>
      </c>
      <c r="BI91" s="57">
        <f>BG91-BB91</f>
        <v>3901.1600000000035</v>
      </c>
    </row>
    <row r="92" spans="1:61" ht="12.75">
      <c r="A92" s="21" t="s">
        <v>15</v>
      </c>
      <c r="B92" s="7">
        <f t="shared" si="36"/>
        <v>23922.8</v>
      </c>
      <c r="C92" s="7">
        <f t="shared" si="36"/>
        <v>21298.7</v>
      </c>
      <c r="D92" s="4">
        <f t="shared" si="36"/>
        <v>22233.78</v>
      </c>
      <c r="E92" s="4">
        <f t="shared" si="36"/>
        <v>24533.42</v>
      </c>
      <c r="F92" s="4">
        <f t="shared" si="36"/>
        <v>34032.33</v>
      </c>
      <c r="G92" s="4">
        <f t="shared" si="36"/>
        <v>34579.6</v>
      </c>
      <c r="H92" s="4">
        <f t="shared" si="36"/>
        <v>34467.6</v>
      </c>
      <c r="I92" s="4">
        <f t="shared" si="36"/>
        <v>32203.699999999997</v>
      </c>
      <c r="J92" s="4">
        <f t="shared" si="36"/>
        <v>32121.2</v>
      </c>
      <c r="K92" s="4">
        <f t="shared" si="36"/>
        <v>32552.25</v>
      </c>
      <c r="L92" s="4">
        <f t="shared" si="36"/>
        <v>32107.3</v>
      </c>
      <c r="M92" s="4">
        <f t="shared" si="36"/>
        <v>27725.399999999998</v>
      </c>
      <c r="N92" s="4">
        <f t="shared" si="36"/>
        <v>27847.100000000002</v>
      </c>
      <c r="O92" s="4">
        <f t="shared" si="36"/>
        <v>28468.399999999998</v>
      </c>
      <c r="P92" s="4">
        <f t="shared" si="36"/>
        <v>30209.199999999997</v>
      </c>
      <c r="Q92" s="4">
        <f t="shared" si="36"/>
        <v>29518.7</v>
      </c>
      <c r="R92" s="4">
        <f t="shared" si="36"/>
        <v>30635.09</v>
      </c>
      <c r="S92" s="4">
        <f t="shared" si="36"/>
        <v>30688.149999999998</v>
      </c>
      <c r="T92" s="4">
        <f t="shared" si="36"/>
        <v>30915.21</v>
      </c>
      <c r="U92" s="4">
        <f t="shared" si="36"/>
        <v>30617.95</v>
      </c>
      <c r="V92" s="4">
        <f t="shared" si="36"/>
        <v>30607.34</v>
      </c>
      <c r="W92" s="4">
        <f t="shared" si="36"/>
        <v>31261.42</v>
      </c>
      <c r="X92" s="4">
        <f t="shared" si="36"/>
        <v>29567.3</v>
      </c>
      <c r="Y92" s="4">
        <f t="shared" si="36"/>
        <v>28440.19</v>
      </c>
      <c r="Z92" s="4">
        <f t="shared" si="36"/>
        <v>28963.88</v>
      </c>
      <c r="AA92" s="4">
        <f t="shared" si="36"/>
        <v>28466</v>
      </c>
      <c r="AB92" s="4">
        <f t="shared" si="36"/>
        <v>30032.84</v>
      </c>
      <c r="AC92" s="4">
        <f t="shared" si="36"/>
        <v>30276.109999999997</v>
      </c>
      <c r="AD92" s="4">
        <f t="shared" si="36"/>
        <v>30097.26</v>
      </c>
      <c r="AE92" s="4">
        <f t="shared" si="36"/>
        <v>30322.9</v>
      </c>
      <c r="AF92" s="4">
        <f t="shared" si="36"/>
        <v>30627.149999999998</v>
      </c>
      <c r="AG92" s="4">
        <f t="shared" si="36"/>
        <v>30905.68</v>
      </c>
      <c r="AH92" s="4">
        <f t="shared" si="36"/>
        <v>32101.75</v>
      </c>
      <c r="AI92" s="4">
        <f t="shared" si="36"/>
        <v>31974.64</v>
      </c>
      <c r="AJ92" s="4">
        <f t="shared" si="36"/>
        <v>31873.019999999997</v>
      </c>
      <c r="AK92" s="4">
        <f t="shared" si="36"/>
        <v>31977.45</v>
      </c>
      <c r="AL92" s="4">
        <f t="shared" si="36"/>
        <v>31546.21</v>
      </c>
      <c r="AM92" s="4">
        <f t="shared" si="36"/>
        <v>30951.48</v>
      </c>
      <c r="AN92" s="4">
        <f t="shared" si="36"/>
        <v>30861.719999999998</v>
      </c>
      <c r="AO92" s="4">
        <f t="shared" si="36"/>
        <v>31494.24</v>
      </c>
      <c r="AP92" s="4">
        <f t="shared" si="36"/>
        <v>31454.87</v>
      </c>
      <c r="AQ92" s="4">
        <f t="shared" si="36"/>
        <v>31115.9</v>
      </c>
      <c r="AR92" s="4">
        <f t="shared" si="36"/>
        <v>31889.02</v>
      </c>
      <c r="AS92" s="4">
        <f t="shared" si="36"/>
        <v>32417.670000000002</v>
      </c>
      <c r="AT92" s="4">
        <f t="shared" si="36"/>
        <v>31996.56</v>
      </c>
      <c r="AU92" s="4">
        <f t="shared" si="36"/>
        <v>32552.890000000003</v>
      </c>
      <c r="AV92" s="4">
        <f t="shared" si="36"/>
        <v>30352.79</v>
      </c>
      <c r="AW92" s="4">
        <f t="shared" si="36"/>
        <v>29758.59</v>
      </c>
      <c r="AX92" s="4">
        <f t="shared" si="36"/>
        <v>30444.22</v>
      </c>
      <c r="AY92" s="4">
        <f t="shared" si="36"/>
        <v>32738.97</v>
      </c>
      <c r="AZ92" s="4">
        <f t="shared" si="36"/>
        <v>34079.939999999995</v>
      </c>
      <c r="BA92" s="4">
        <f t="shared" si="36"/>
        <v>34228.469999999994</v>
      </c>
      <c r="BB92" s="4">
        <f t="shared" si="36"/>
        <v>35478.43</v>
      </c>
      <c r="BC92" s="4">
        <f t="shared" si="36"/>
        <v>33420.560000000005</v>
      </c>
      <c r="BD92" s="4">
        <f t="shared" si="36"/>
        <v>33038.09</v>
      </c>
      <c r="BE92" s="4">
        <f t="shared" si="36"/>
        <v>32510.829999999998</v>
      </c>
      <c r="BF92" s="4">
        <f t="shared" si="36"/>
        <v>32907.56</v>
      </c>
      <c r="BG92" s="136">
        <f>BG108+BG123</f>
        <v>34635.689999999995</v>
      </c>
      <c r="BI92" s="57">
        <f>BG92-BB92</f>
        <v>-842.7400000000052</v>
      </c>
    </row>
    <row r="93" spans="1:61" ht="12.75">
      <c r="A93" s="21" t="s">
        <v>16</v>
      </c>
      <c r="B93" s="7">
        <f t="shared" si="36"/>
        <v>7.3</v>
      </c>
      <c r="C93" s="7">
        <f t="shared" si="36"/>
        <v>2.9</v>
      </c>
      <c r="D93" s="4">
        <f t="shared" si="36"/>
        <v>0.86</v>
      </c>
      <c r="E93" s="4">
        <f t="shared" si="36"/>
        <v>54.1</v>
      </c>
      <c r="F93" s="4">
        <f t="shared" si="36"/>
        <v>1633.98</v>
      </c>
      <c r="G93" s="4">
        <f t="shared" si="36"/>
        <v>1815.2</v>
      </c>
      <c r="H93" s="4">
        <f t="shared" si="36"/>
        <v>1814.3</v>
      </c>
      <c r="I93" s="4">
        <f t="shared" si="36"/>
        <v>1769.25</v>
      </c>
      <c r="J93" s="4">
        <f t="shared" si="36"/>
        <v>1674.6</v>
      </c>
      <c r="K93" s="4">
        <f t="shared" si="36"/>
        <v>1667.1</v>
      </c>
      <c r="L93" s="4">
        <f t="shared" si="36"/>
        <v>1662.94</v>
      </c>
      <c r="M93" s="4">
        <f t="shared" si="36"/>
        <v>1574</v>
      </c>
      <c r="N93" s="4">
        <f t="shared" si="36"/>
        <v>1577.6999999999998</v>
      </c>
      <c r="O93" s="4">
        <f t="shared" si="36"/>
        <v>1823.7</v>
      </c>
      <c r="P93" s="4">
        <f t="shared" si="36"/>
        <v>2344.5</v>
      </c>
      <c r="Q93" s="4">
        <f t="shared" si="36"/>
        <v>2585.3</v>
      </c>
      <c r="R93" s="4">
        <f t="shared" si="36"/>
        <v>2603.7799999999997</v>
      </c>
      <c r="S93" s="4">
        <f t="shared" si="36"/>
        <v>2855.47</v>
      </c>
      <c r="T93" s="4">
        <f t="shared" si="36"/>
        <v>3096.37</v>
      </c>
      <c r="U93" s="4">
        <f t="shared" si="36"/>
        <v>3381.73</v>
      </c>
      <c r="V93" s="4">
        <f t="shared" si="36"/>
        <v>3475.93</v>
      </c>
      <c r="W93" s="4">
        <f t="shared" si="36"/>
        <v>3598.81</v>
      </c>
      <c r="X93" s="4">
        <f t="shared" si="36"/>
        <v>3795</v>
      </c>
      <c r="Y93" s="4">
        <f t="shared" si="36"/>
        <v>3748.33</v>
      </c>
      <c r="Z93" s="4">
        <f t="shared" si="36"/>
        <v>3303.7999999999997</v>
      </c>
      <c r="AA93" s="4">
        <f t="shared" si="36"/>
        <v>3641.46</v>
      </c>
      <c r="AB93" s="4">
        <f t="shared" si="36"/>
        <v>3879</v>
      </c>
      <c r="AC93" s="4">
        <f t="shared" si="36"/>
        <v>3983.06</v>
      </c>
      <c r="AD93" s="4">
        <f t="shared" si="36"/>
        <v>3573.0499999999997</v>
      </c>
      <c r="AE93" s="4">
        <f t="shared" si="36"/>
        <v>3217.29</v>
      </c>
      <c r="AF93" s="4">
        <f t="shared" si="36"/>
        <v>3047.49</v>
      </c>
      <c r="AG93" s="4">
        <f t="shared" si="36"/>
        <v>2916.38</v>
      </c>
      <c r="AH93" s="4">
        <f t="shared" si="36"/>
        <v>2765.63</v>
      </c>
      <c r="AI93" s="4">
        <f t="shared" si="36"/>
        <v>2774.63</v>
      </c>
      <c r="AJ93" s="4">
        <f t="shared" si="36"/>
        <v>2720.64</v>
      </c>
      <c r="AK93" s="4">
        <f t="shared" si="36"/>
        <v>2768.1699999999996</v>
      </c>
      <c r="AL93" s="4">
        <f t="shared" si="36"/>
        <v>2767.7200000000003</v>
      </c>
      <c r="AM93" s="4">
        <f t="shared" si="36"/>
        <v>2760.9100000000003</v>
      </c>
      <c r="AN93" s="4">
        <f t="shared" si="36"/>
        <v>2760.16</v>
      </c>
      <c r="AO93" s="4">
        <f t="shared" si="36"/>
        <v>2841.24</v>
      </c>
      <c r="AP93" s="4">
        <f t="shared" si="36"/>
        <v>2911.33</v>
      </c>
      <c r="AQ93" s="4">
        <f t="shared" si="36"/>
        <v>2967.51</v>
      </c>
      <c r="AR93" s="4">
        <f t="shared" si="36"/>
        <v>3078.4700000000003</v>
      </c>
      <c r="AS93" s="4">
        <f t="shared" si="36"/>
        <v>3091.94</v>
      </c>
      <c r="AT93" s="4">
        <f t="shared" si="36"/>
        <v>3299.86</v>
      </c>
      <c r="AU93" s="4">
        <f t="shared" si="36"/>
        <v>3521.22</v>
      </c>
      <c r="AV93" s="4">
        <f t="shared" si="36"/>
        <v>3604.12</v>
      </c>
      <c r="AW93" s="4">
        <f t="shared" si="36"/>
        <v>3587.88</v>
      </c>
      <c r="AX93" s="4">
        <f t="shared" si="36"/>
        <v>3754.02</v>
      </c>
      <c r="AY93" s="4">
        <f t="shared" si="36"/>
        <v>3913.98</v>
      </c>
      <c r="AZ93" s="4">
        <f t="shared" si="36"/>
        <v>4195.33</v>
      </c>
      <c r="BA93" s="4">
        <f t="shared" si="36"/>
        <v>4245.5</v>
      </c>
      <c r="BB93" s="4">
        <f t="shared" si="36"/>
        <v>4350.59</v>
      </c>
      <c r="BC93" s="4">
        <f t="shared" si="36"/>
        <v>4450.9400000000005</v>
      </c>
      <c r="BD93" s="4">
        <f t="shared" si="36"/>
        <v>4478.47</v>
      </c>
      <c r="BE93" s="4">
        <f t="shared" si="36"/>
        <v>4594.46</v>
      </c>
      <c r="BF93" s="4">
        <f t="shared" si="36"/>
        <v>4645.98</v>
      </c>
      <c r="BG93" s="136">
        <f>BG109+BG124</f>
        <v>4702.44</v>
      </c>
      <c r="BI93" s="57">
        <f>BG93-BB93</f>
        <v>351.84999999999945</v>
      </c>
    </row>
    <row r="94" spans="1:61" ht="12" customHeight="1">
      <c r="A94" s="21" t="s">
        <v>17</v>
      </c>
      <c r="B94" s="7">
        <f aca="true" t="shared" si="37" ref="B94:BC94">B125+B110</f>
        <v>-0.029999999998835847</v>
      </c>
      <c r="C94" s="7">
        <f t="shared" si="37"/>
        <v>0</v>
      </c>
      <c r="D94" s="4">
        <f t="shared" si="37"/>
        <v>0</v>
      </c>
      <c r="E94" s="4">
        <f t="shared" si="37"/>
        <v>0</v>
      </c>
      <c r="F94" s="4">
        <f t="shared" si="37"/>
        <v>0</v>
      </c>
      <c r="G94" s="4">
        <f t="shared" si="37"/>
        <v>0</v>
      </c>
      <c r="H94" s="4">
        <f t="shared" si="37"/>
        <v>0</v>
      </c>
      <c r="I94" s="4">
        <f t="shared" si="37"/>
        <v>0</v>
      </c>
      <c r="J94" s="4">
        <f t="shared" si="37"/>
        <v>0</v>
      </c>
      <c r="K94" s="4">
        <f t="shared" si="37"/>
        <v>0</v>
      </c>
      <c r="L94" s="4">
        <f t="shared" si="37"/>
        <v>0</v>
      </c>
      <c r="M94" s="4">
        <f t="shared" si="37"/>
        <v>0</v>
      </c>
      <c r="N94" s="4">
        <f t="shared" si="37"/>
        <v>0</v>
      </c>
      <c r="O94" s="4">
        <f t="shared" si="37"/>
        <v>0</v>
      </c>
      <c r="P94" s="4">
        <f t="shared" si="37"/>
        <v>0</v>
      </c>
      <c r="Q94" s="4">
        <f t="shared" si="37"/>
        <v>0</v>
      </c>
      <c r="R94" s="4">
        <f t="shared" si="37"/>
        <v>0</v>
      </c>
      <c r="S94" s="4">
        <f t="shared" si="37"/>
        <v>0</v>
      </c>
      <c r="T94" s="4">
        <f t="shared" si="37"/>
        <v>0</v>
      </c>
      <c r="U94" s="4">
        <f t="shared" si="37"/>
        <v>0</v>
      </c>
      <c r="V94" s="4">
        <f t="shared" si="37"/>
        <v>0</v>
      </c>
      <c r="W94" s="4">
        <f t="shared" si="37"/>
        <v>0</v>
      </c>
      <c r="X94" s="4">
        <f t="shared" si="37"/>
        <v>0</v>
      </c>
      <c r="Y94" s="4">
        <f t="shared" si="37"/>
        <v>0</v>
      </c>
      <c r="Z94" s="4">
        <f t="shared" si="37"/>
        <v>0</v>
      </c>
      <c r="AA94" s="4">
        <f t="shared" si="37"/>
        <v>0</v>
      </c>
      <c r="AB94" s="4">
        <f t="shared" si="37"/>
        <v>0</v>
      </c>
      <c r="AC94" s="4">
        <f t="shared" si="37"/>
        <v>0</v>
      </c>
      <c r="AD94" s="4">
        <f t="shared" si="37"/>
        <v>0</v>
      </c>
      <c r="AE94" s="4">
        <f t="shared" si="37"/>
        <v>0</v>
      </c>
      <c r="AF94" s="4">
        <f t="shared" si="37"/>
        <v>0</v>
      </c>
      <c r="AG94" s="4">
        <f t="shared" si="37"/>
        <v>0</v>
      </c>
      <c r="AH94" s="4">
        <f t="shared" si="37"/>
        <v>0</v>
      </c>
      <c r="AI94" s="4">
        <f t="shared" si="37"/>
        <v>0</v>
      </c>
      <c r="AJ94" s="4">
        <f t="shared" si="37"/>
        <v>0</v>
      </c>
      <c r="AK94" s="4">
        <f t="shared" si="37"/>
        <v>0</v>
      </c>
      <c r="AL94" s="4">
        <f t="shared" si="37"/>
        <v>0</v>
      </c>
      <c r="AM94" s="4">
        <f t="shared" si="37"/>
        <v>0</v>
      </c>
      <c r="AN94" s="4">
        <f t="shared" si="37"/>
        <v>0</v>
      </c>
      <c r="AO94" s="4">
        <f t="shared" si="37"/>
        <v>0</v>
      </c>
      <c r="AP94" s="4">
        <f t="shared" si="37"/>
        <v>0</v>
      </c>
      <c r="AQ94" s="4">
        <f t="shared" si="37"/>
        <v>0</v>
      </c>
      <c r="AR94" s="4">
        <f t="shared" si="37"/>
        <v>0</v>
      </c>
      <c r="AS94" s="4">
        <f t="shared" si="37"/>
        <v>0</v>
      </c>
      <c r="AT94" s="4">
        <f t="shared" si="37"/>
        <v>0</v>
      </c>
      <c r="AU94" s="4">
        <f t="shared" si="37"/>
        <v>0</v>
      </c>
      <c r="AV94" s="4">
        <f t="shared" si="37"/>
        <v>0</v>
      </c>
      <c r="AW94" s="4">
        <f t="shared" si="37"/>
        <v>0</v>
      </c>
      <c r="AX94" s="4">
        <f t="shared" si="37"/>
        <v>0</v>
      </c>
      <c r="AY94" s="4">
        <f t="shared" si="37"/>
        <v>0</v>
      </c>
      <c r="AZ94" s="4">
        <f t="shared" si="37"/>
        <v>0</v>
      </c>
      <c r="BA94" s="4">
        <f t="shared" si="37"/>
        <v>0</v>
      </c>
      <c r="BB94" s="4">
        <f t="shared" si="37"/>
        <v>0</v>
      </c>
      <c r="BC94" s="4">
        <f t="shared" si="37"/>
        <v>0</v>
      </c>
      <c r="BD94" s="4">
        <f>BD125+BD110</f>
        <v>0</v>
      </c>
      <c r="BE94" s="4">
        <f>BE125+BE110</f>
        <v>0</v>
      </c>
      <c r="BF94" s="4">
        <f>BF125+BF110</f>
        <v>0</v>
      </c>
      <c r="BG94" s="136">
        <f>BG125+BG110</f>
        <v>0</v>
      </c>
      <c r="BI94" s="57">
        <f>BG94-BB94</f>
        <v>0</v>
      </c>
    </row>
    <row r="95" spans="1:61" s="86" customFormat="1" ht="12.75">
      <c r="A95" s="155" t="s">
        <v>37</v>
      </c>
      <c r="B95" s="159">
        <f aca="true" t="shared" si="38" ref="B95:BD95">B111+B126</f>
        <v>87866.35</v>
      </c>
      <c r="C95" s="159">
        <f t="shared" si="38"/>
        <v>104408.17</v>
      </c>
      <c r="D95" s="159">
        <f t="shared" si="38"/>
        <v>117373.71</v>
      </c>
      <c r="E95" s="159">
        <f t="shared" si="38"/>
        <v>123742.48999999999</v>
      </c>
      <c r="F95" s="159">
        <f t="shared" si="38"/>
        <v>130924.04000000001</v>
      </c>
      <c r="G95" s="159">
        <f t="shared" si="38"/>
        <v>131621.7</v>
      </c>
      <c r="H95" s="159">
        <f t="shared" si="38"/>
        <v>137698.9</v>
      </c>
      <c r="I95" s="159">
        <f t="shared" si="38"/>
        <v>136486.6</v>
      </c>
      <c r="J95" s="159">
        <f t="shared" si="38"/>
        <v>133081.35</v>
      </c>
      <c r="K95" s="159">
        <f t="shared" si="38"/>
        <v>135048.25</v>
      </c>
      <c r="L95" s="159">
        <f t="shared" si="38"/>
        <v>135444.23</v>
      </c>
      <c r="M95" s="159">
        <f t="shared" si="38"/>
        <v>131878.19</v>
      </c>
      <c r="N95" s="159">
        <f t="shared" si="38"/>
        <v>134627.91999999998</v>
      </c>
      <c r="O95" s="159">
        <f t="shared" si="38"/>
        <v>134627.91999999998</v>
      </c>
      <c r="P95" s="159">
        <f t="shared" si="38"/>
        <v>134627.91999999998</v>
      </c>
      <c r="Q95" s="159">
        <f t="shared" si="38"/>
        <v>134627.91999999998</v>
      </c>
      <c r="R95" s="159">
        <f t="shared" si="38"/>
        <v>134627.91999999998</v>
      </c>
      <c r="S95" s="159">
        <f t="shared" si="38"/>
        <v>134627.91999999998</v>
      </c>
      <c r="T95" s="159">
        <f t="shared" si="38"/>
        <v>123476.9</v>
      </c>
      <c r="U95" s="159">
        <f t="shared" si="38"/>
        <v>123476.9</v>
      </c>
      <c r="V95" s="159">
        <f t="shared" si="38"/>
        <v>123476.9</v>
      </c>
      <c r="W95" s="159">
        <f t="shared" si="38"/>
        <v>123476.9</v>
      </c>
      <c r="X95" s="159">
        <f t="shared" si="38"/>
        <v>123476.9</v>
      </c>
      <c r="Y95" s="159">
        <f t="shared" si="38"/>
        <v>123476.9</v>
      </c>
      <c r="Z95" s="159">
        <f t="shared" si="38"/>
        <v>123476.9</v>
      </c>
      <c r="AA95" s="159">
        <f t="shared" si="38"/>
        <v>123476.9</v>
      </c>
      <c r="AB95" s="159">
        <f t="shared" si="38"/>
        <v>123476.9</v>
      </c>
      <c r="AC95" s="159">
        <f t="shared" si="38"/>
        <v>123476.9</v>
      </c>
      <c r="AD95" s="159">
        <f t="shared" si="38"/>
        <v>123476.9</v>
      </c>
      <c r="AE95" s="159">
        <f t="shared" si="38"/>
        <v>123476.9</v>
      </c>
      <c r="AF95" s="159">
        <f t="shared" si="38"/>
        <v>123476.9</v>
      </c>
      <c r="AG95" s="159">
        <f t="shared" si="38"/>
        <v>123476.9</v>
      </c>
      <c r="AH95" s="159">
        <f t="shared" si="38"/>
        <v>123476.9</v>
      </c>
      <c r="AI95" s="159">
        <f t="shared" si="38"/>
        <v>123476.9</v>
      </c>
      <c r="AJ95" s="159">
        <f t="shared" si="38"/>
        <v>123476.9</v>
      </c>
      <c r="AK95" s="159">
        <f t="shared" si="38"/>
        <v>123476.9</v>
      </c>
      <c r="AL95" s="159">
        <f t="shared" si="38"/>
        <v>123476.9</v>
      </c>
      <c r="AM95" s="159">
        <f t="shared" si="38"/>
        <v>123476.9</v>
      </c>
      <c r="AN95" s="159">
        <f t="shared" si="38"/>
        <v>123476.9</v>
      </c>
      <c r="AO95" s="159">
        <f t="shared" si="38"/>
        <v>123476.9</v>
      </c>
      <c r="AP95" s="159">
        <f t="shared" si="38"/>
        <v>123476.9</v>
      </c>
      <c r="AQ95" s="159">
        <f t="shared" si="38"/>
        <v>123476.9</v>
      </c>
      <c r="AR95" s="159">
        <f t="shared" si="38"/>
        <v>123476.9</v>
      </c>
      <c r="AS95" s="159">
        <f t="shared" si="38"/>
        <v>123476.9</v>
      </c>
      <c r="AT95" s="159">
        <f t="shared" si="38"/>
        <v>123476.9</v>
      </c>
      <c r="AU95" s="159">
        <f t="shared" si="38"/>
        <v>123476.9</v>
      </c>
      <c r="AV95" s="159">
        <f t="shared" si="38"/>
        <v>123476.9</v>
      </c>
      <c r="AW95" s="159">
        <f t="shared" si="38"/>
        <v>123476.9</v>
      </c>
      <c r="AX95" s="159">
        <f t="shared" si="38"/>
        <v>123476.9</v>
      </c>
      <c r="AY95" s="159">
        <f t="shared" si="38"/>
        <v>123476.9</v>
      </c>
      <c r="AZ95" s="159">
        <f t="shared" si="38"/>
        <v>123476.9</v>
      </c>
      <c r="BA95" s="159">
        <f t="shared" si="38"/>
        <v>123476.9</v>
      </c>
      <c r="BB95" s="159">
        <f t="shared" si="38"/>
        <v>123476.9</v>
      </c>
      <c r="BC95" s="159">
        <f t="shared" si="38"/>
        <v>123476.9</v>
      </c>
      <c r="BD95" s="159">
        <f t="shared" si="38"/>
        <v>123476.9</v>
      </c>
      <c r="BE95" s="159">
        <f>BE111+BE126</f>
        <v>123476.9</v>
      </c>
      <c r="BF95" s="159">
        <f>BF111+BF126</f>
        <v>123476.9</v>
      </c>
      <c r="BG95" s="159">
        <f>BG111+BG126</f>
        <v>123476.9</v>
      </c>
      <c r="BH95" s="85"/>
      <c r="BI95" s="85"/>
    </row>
    <row r="96" spans="1:60" ht="35.25" customHeight="1">
      <c r="A96" s="62" t="s">
        <v>38</v>
      </c>
      <c r="B96" s="10">
        <f aca="true" t="shared" si="39" ref="B96:BC96">B101+B102+B104</f>
        <v>74303.92</v>
      </c>
      <c r="C96" s="10">
        <f t="shared" si="39"/>
        <v>89762.32</v>
      </c>
      <c r="D96" s="1">
        <f t="shared" si="39"/>
        <v>99172.71</v>
      </c>
      <c r="E96" s="1">
        <f t="shared" si="39"/>
        <v>99419.1</v>
      </c>
      <c r="F96" s="1">
        <f t="shared" si="39"/>
        <v>115721.28</v>
      </c>
      <c r="G96" s="1">
        <f t="shared" si="39"/>
        <v>120132.33</v>
      </c>
      <c r="H96" s="1">
        <f t="shared" si="39"/>
        <v>125771.95999999999</v>
      </c>
      <c r="I96" s="1">
        <f t="shared" si="39"/>
        <v>120622.3</v>
      </c>
      <c r="J96" s="1">
        <f t="shared" si="39"/>
        <v>117505.7</v>
      </c>
      <c r="K96" s="1">
        <f t="shared" si="39"/>
        <v>120955.19999999998</v>
      </c>
      <c r="L96" s="1">
        <f t="shared" si="39"/>
        <v>118807.48999999999</v>
      </c>
      <c r="M96" s="1">
        <f t="shared" si="39"/>
        <v>118123.79</v>
      </c>
      <c r="N96" s="1">
        <f t="shared" si="39"/>
        <v>119838.31</v>
      </c>
      <c r="O96" s="1">
        <f t="shared" si="39"/>
        <v>119833.2</v>
      </c>
      <c r="P96" s="1">
        <f t="shared" si="39"/>
        <v>120832.92</v>
      </c>
      <c r="Q96" s="1">
        <f t="shared" si="39"/>
        <v>123107.81999999999</v>
      </c>
      <c r="R96" s="1">
        <f>R101+R102+R104</f>
        <v>125330.55</v>
      </c>
      <c r="S96" s="1">
        <f t="shared" si="39"/>
        <v>123485.50000000001</v>
      </c>
      <c r="T96" s="1">
        <f t="shared" si="39"/>
        <v>126276</v>
      </c>
      <c r="U96" s="1">
        <f t="shared" si="39"/>
        <v>123377</v>
      </c>
      <c r="V96" s="1">
        <f t="shared" si="39"/>
        <v>132540.8</v>
      </c>
      <c r="W96" s="1">
        <f t="shared" si="39"/>
        <v>130685.29999999999</v>
      </c>
      <c r="X96" s="1">
        <f t="shared" si="39"/>
        <v>127005.5</v>
      </c>
      <c r="Y96" s="1">
        <f t="shared" si="39"/>
        <v>133060.8</v>
      </c>
      <c r="Z96" s="1">
        <f t="shared" si="39"/>
        <v>123888.8</v>
      </c>
      <c r="AA96" s="1">
        <f t="shared" si="39"/>
        <v>127120.50000000001</v>
      </c>
      <c r="AB96" s="1">
        <f t="shared" si="39"/>
        <v>132075.4</v>
      </c>
      <c r="AC96" s="1">
        <f t="shared" si="39"/>
        <v>135431</v>
      </c>
      <c r="AD96" s="1">
        <f t="shared" si="39"/>
        <v>137425.3</v>
      </c>
      <c r="AE96" s="1">
        <f t="shared" si="39"/>
        <v>136547.9</v>
      </c>
      <c r="AF96" s="1">
        <f t="shared" si="39"/>
        <v>139010.6</v>
      </c>
      <c r="AG96" s="1">
        <f t="shared" si="39"/>
        <v>139400.5</v>
      </c>
      <c r="AH96" s="1">
        <f t="shared" si="39"/>
        <v>143610</v>
      </c>
      <c r="AI96" s="1">
        <f t="shared" si="39"/>
        <v>144372.7</v>
      </c>
      <c r="AJ96" s="1">
        <f t="shared" si="39"/>
        <v>141998.5</v>
      </c>
      <c r="AK96" s="1">
        <f t="shared" si="39"/>
        <v>140072.8</v>
      </c>
      <c r="AL96" s="1">
        <f t="shared" si="39"/>
        <v>141263.80000000002</v>
      </c>
      <c r="AM96" s="1">
        <f t="shared" si="39"/>
        <v>142545.50000000003</v>
      </c>
      <c r="AN96" s="1">
        <f t="shared" si="39"/>
        <v>143572.09999999998</v>
      </c>
      <c r="AO96" s="1">
        <f t="shared" si="39"/>
        <v>145194.80000000002</v>
      </c>
      <c r="AP96" s="1">
        <f t="shared" si="39"/>
        <v>144443.2</v>
      </c>
      <c r="AQ96" s="1">
        <f t="shared" si="39"/>
        <v>137987.4</v>
      </c>
      <c r="AR96" s="1">
        <f t="shared" si="39"/>
        <v>141471.3</v>
      </c>
      <c r="AS96" s="1">
        <f t="shared" si="39"/>
        <v>143145</v>
      </c>
      <c r="AT96" s="1">
        <f t="shared" si="39"/>
        <v>144561.5</v>
      </c>
      <c r="AU96" s="1">
        <f t="shared" si="39"/>
        <v>146570.8</v>
      </c>
      <c r="AV96" s="1">
        <f t="shared" si="39"/>
        <v>146949.9</v>
      </c>
      <c r="AW96" s="1">
        <f t="shared" si="39"/>
        <v>147625.2</v>
      </c>
      <c r="AX96" s="1">
        <f t="shared" si="39"/>
        <v>152430.3</v>
      </c>
      <c r="AY96" s="1">
        <f t="shared" si="39"/>
        <v>155063.7</v>
      </c>
      <c r="AZ96" s="1">
        <f t="shared" si="39"/>
        <v>161821.80000000002</v>
      </c>
      <c r="BA96" s="1">
        <f t="shared" si="39"/>
        <v>159598.19999999998</v>
      </c>
      <c r="BB96" s="1">
        <f t="shared" si="39"/>
        <v>162114.2</v>
      </c>
      <c r="BC96" s="1">
        <f t="shared" si="39"/>
        <v>160572.3</v>
      </c>
      <c r="BD96" s="1">
        <f>BD101+BD102+BD104</f>
        <v>156780.9</v>
      </c>
      <c r="BE96" s="1">
        <f>BE101+BE102+BE104</f>
        <v>160721.1</v>
      </c>
      <c r="BF96" s="1">
        <f>BF101+BF102+BF104</f>
        <v>159036.7</v>
      </c>
      <c r="BG96" s="139">
        <f>BG101+BG102+BG104</f>
        <v>165294.59999999998</v>
      </c>
      <c r="BH96" s="57"/>
    </row>
    <row r="97" spans="1:61" ht="24" customHeight="1">
      <c r="A97" s="21" t="s">
        <v>22</v>
      </c>
      <c r="B97" s="6"/>
      <c r="C97" s="6"/>
      <c r="D97" s="2"/>
      <c r="E97" s="2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136"/>
      <c r="BI97" s="57"/>
    </row>
    <row r="98" spans="1:59" ht="12.75">
      <c r="A98" s="21" t="s">
        <v>23</v>
      </c>
      <c r="B98" s="8">
        <v>32937.54</v>
      </c>
      <c r="C98" s="8">
        <f aca="true" t="shared" si="40" ref="C98:BE98">C105+C103+C101</f>
        <v>36283.520000000004</v>
      </c>
      <c r="D98" s="8">
        <f t="shared" si="40"/>
        <v>29166.53</v>
      </c>
      <c r="E98" s="8">
        <f t="shared" si="40"/>
        <v>13334.7</v>
      </c>
      <c r="F98" s="8">
        <f t="shared" si="40"/>
        <v>16580.480000000003</v>
      </c>
      <c r="G98" s="8">
        <f t="shared" si="40"/>
        <v>16049.559999999998</v>
      </c>
      <c r="H98" s="8">
        <f t="shared" si="40"/>
        <v>18436.13</v>
      </c>
      <c r="I98" s="8">
        <f t="shared" si="40"/>
        <v>15239.7</v>
      </c>
      <c r="J98" s="8">
        <f t="shared" si="40"/>
        <v>16510.07</v>
      </c>
      <c r="K98" s="8">
        <f t="shared" si="40"/>
        <v>16150.359999999999</v>
      </c>
      <c r="L98" s="8">
        <f t="shared" si="40"/>
        <v>14760.11</v>
      </c>
      <c r="M98" s="8">
        <f t="shared" si="40"/>
        <v>15189.989999999998</v>
      </c>
      <c r="N98" s="8">
        <f t="shared" si="40"/>
        <v>15678.41</v>
      </c>
      <c r="O98" s="8">
        <f t="shared" si="40"/>
        <v>15272.04</v>
      </c>
      <c r="P98" s="8">
        <f t="shared" si="40"/>
        <v>17291.12</v>
      </c>
      <c r="Q98" s="8">
        <f t="shared" si="40"/>
        <v>17626.32</v>
      </c>
      <c r="R98" s="8">
        <f t="shared" si="40"/>
        <v>16996.65</v>
      </c>
      <c r="S98" s="8">
        <f t="shared" si="40"/>
        <v>15308.199999999999</v>
      </c>
      <c r="T98" s="8">
        <f t="shared" si="40"/>
        <v>17156.7</v>
      </c>
      <c r="U98" s="8">
        <f t="shared" si="40"/>
        <v>14231.7</v>
      </c>
      <c r="V98" s="8">
        <f t="shared" si="40"/>
        <v>16164.5</v>
      </c>
      <c r="W98" s="8">
        <f t="shared" si="40"/>
        <v>16128.900000000001</v>
      </c>
      <c r="X98" s="8">
        <f t="shared" si="40"/>
        <v>15559.7</v>
      </c>
      <c r="Y98" s="8">
        <f t="shared" si="40"/>
        <v>17064.4</v>
      </c>
      <c r="Z98" s="8">
        <f t="shared" si="40"/>
        <v>16691.300000000003</v>
      </c>
      <c r="AA98" s="8">
        <f t="shared" si="40"/>
        <v>16770.4</v>
      </c>
      <c r="AB98" s="8">
        <f t="shared" si="40"/>
        <v>17214.2</v>
      </c>
      <c r="AC98" s="8">
        <f t="shared" si="40"/>
        <v>17662.600000000002</v>
      </c>
      <c r="AD98" s="8">
        <f t="shared" si="40"/>
        <v>19140.4</v>
      </c>
      <c r="AE98" s="8">
        <f t="shared" si="40"/>
        <v>15865.9</v>
      </c>
      <c r="AF98" s="8">
        <f t="shared" si="40"/>
        <v>16048.9</v>
      </c>
      <c r="AG98" s="8">
        <f t="shared" si="40"/>
        <v>16031.3</v>
      </c>
      <c r="AH98" s="8">
        <f t="shared" si="40"/>
        <v>16472.5</v>
      </c>
      <c r="AI98" s="8">
        <f t="shared" si="40"/>
        <v>14989.5</v>
      </c>
      <c r="AJ98" s="8">
        <f t="shared" si="40"/>
        <v>16073.400000000001</v>
      </c>
      <c r="AK98" s="8">
        <f t="shared" si="40"/>
        <v>17705.5</v>
      </c>
      <c r="AL98" s="8">
        <f t="shared" si="40"/>
        <v>16139.4</v>
      </c>
      <c r="AM98" s="8">
        <f t="shared" si="40"/>
        <v>15787.400000000001</v>
      </c>
      <c r="AN98" s="8">
        <f t="shared" si="40"/>
        <v>15694.7</v>
      </c>
      <c r="AO98" s="8">
        <f t="shared" si="40"/>
        <v>15420.4</v>
      </c>
      <c r="AP98" s="8">
        <f t="shared" si="40"/>
        <v>14828.900000000001</v>
      </c>
      <c r="AQ98" s="8">
        <f t="shared" si="40"/>
        <v>12215.7</v>
      </c>
      <c r="AR98" s="8">
        <f t="shared" si="40"/>
        <v>11796.7</v>
      </c>
      <c r="AS98" s="8">
        <f t="shared" si="40"/>
        <v>10480.099999999999</v>
      </c>
      <c r="AT98" s="8">
        <f t="shared" si="40"/>
        <v>9699.9</v>
      </c>
      <c r="AU98" s="8">
        <f t="shared" si="40"/>
        <v>9369.7</v>
      </c>
      <c r="AV98" s="8">
        <f t="shared" si="40"/>
        <v>10120.9</v>
      </c>
      <c r="AW98" s="8">
        <f t="shared" si="40"/>
        <v>8233.2</v>
      </c>
      <c r="AX98" s="8">
        <f t="shared" si="40"/>
        <v>8379.8</v>
      </c>
      <c r="AY98" s="8">
        <f t="shared" si="40"/>
        <v>8988.2</v>
      </c>
      <c r="AZ98" s="8">
        <f t="shared" si="40"/>
        <v>10357.3</v>
      </c>
      <c r="BA98" s="8">
        <f t="shared" si="40"/>
        <v>11644</v>
      </c>
      <c r="BB98" s="8">
        <f t="shared" si="40"/>
        <v>10672.6</v>
      </c>
      <c r="BC98" s="8">
        <f t="shared" si="40"/>
        <v>9604.4</v>
      </c>
      <c r="BD98" s="8">
        <f t="shared" si="40"/>
        <v>9631.2</v>
      </c>
      <c r="BE98" s="8">
        <f t="shared" si="40"/>
        <v>9534.2</v>
      </c>
      <c r="BF98" s="8">
        <f>BF105+BF103+BF101</f>
        <v>10151.5</v>
      </c>
      <c r="BG98" s="136">
        <f>BG105+BG103+BG101</f>
        <v>10159.3</v>
      </c>
    </row>
    <row r="99" spans="1:59" ht="12.75">
      <c r="A99" s="21" t="s">
        <v>24</v>
      </c>
      <c r="B99" s="8">
        <f>41259.8+106.54</f>
        <v>41366.340000000004</v>
      </c>
      <c r="C99" s="8">
        <f aca="true" t="shared" si="41" ref="C99:BE99">C96-C98</f>
        <v>53478.8</v>
      </c>
      <c r="D99" s="8">
        <f t="shared" si="41"/>
        <v>70006.18000000001</v>
      </c>
      <c r="E99" s="8">
        <f t="shared" si="41"/>
        <v>86084.40000000001</v>
      </c>
      <c r="F99" s="8">
        <f t="shared" si="41"/>
        <v>99140.79999999999</v>
      </c>
      <c r="G99" s="8">
        <f t="shared" si="41"/>
        <v>104082.77</v>
      </c>
      <c r="H99" s="8">
        <f t="shared" si="41"/>
        <v>107335.82999999999</v>
      </c>
      <c r="I99" s="8">
        <f t="shared" si="41"/>
        <v>105382.6</v>
      </c>
      <c r="J99" s="8">
        <f t="shared" si="41"/>
        <v>100995.63</v>
      </c>
      <c r="K99" s="8">
        <f t="shared" si="41"/>
        <v>104804.83999999998</v>
      </c>
      <c r="L99" s="8">
        <f t="shared" si="41"/>
        <v>104047.37999999999</v>
      </c>
      <c r="M99" s="8">
        <f t="shared" si="41"/>
        <v>102933.79999999999</v>
      </c>
      <c r="N99" s="8">
        <f t="shared" si="41"/>
        <v>104159.9</v>
      </c>
      <c r="O99" s="8">
        <f t="shared" si="41"/>
        <v>104561.16</v>
      </c>
      <c r="P99" s="8">
        <f t="shared" si="41"/>
        <v>103541.8</v>
      </c>
      <c r="Q99" s="8">
        <f t="shared" si="41"/>
        <v>105481.5</v>
      </c>
      <c r="R99" s="8">
        <f>R96-R98</f>
        <v>108333.9</v>
      </c>
      <c r="S99" s="8">
        <f t="shared" si="41"/>
        <v>108177.30000000002</v>
      </c>
      <c r="T99" s="8">
        <f t="shared" si="41"/>
        <v>109119.3</v>
      </c>
      <c r="U99" s="8">
        <f t="shared" si="41"/>
        <v>109145.3</v>
      </c>
      <c r="V99" s="8">
        <f t="shared" si="41"/>
        <v>116376.29999999999</v>
      </c>
      <c r="W99" s="8">
        <f t="shared" si="41"/>
        <v>114556.4</v>
      </c>
      <c r="X99" s="8">
        <f t="shared" si="41"/>
        <v>111445.8</v>
      </c>
      <c r="Y99" s="8">
        <f t="shared" si="41"/>
        <v>115996.4</v>
      </c>
      <c r="Z99" s="8">
        <f t="shared" si="41"/>
        <v>107197.5</v>
      </c>
      <c r="AA99" s="8">
        <f t="shared" si="41"/>
        <v>110350.1</v>
      </c>
      <c r="AB99" s="8">
        <f t="shared" si="41"/>
        <v>114861.2</v>
      </c>
      <c r="AC99" s="8">
        <f t="shared" si="41"/>
        <v>117768.4</v>
      </c>
      <c r="AD99" s="8">
        <f t="shared" si="41"/>
        <v>118284.9</v>
      </c>
      <c r="AE99" s="8">
        <f t="shared" si="41"/>
        <v>120682</v>
      </c>
      <c r="AF99" s="8">
        <f t="shared" si="41"/>
        <v>122961.70000000001</v>
      </c>
      <c r="AG99" s="8">
        <f t="shared" si="41"/>
        <v>123369.2</v>
      </c>
      <c r="AH99" s="8">
        <f t="shared" si="41"/>
        <v>127137.5</v>
      </c>
      <c r="AI99" s="8">
        <f t="shared" si="41"/>
        <v>129383.20000000001</v>
      </c>
      <c r="AJ99" s="8">
        <f t="shared" si="41"/>
        <v>125925.1</v>
      </c>
      <c r="AK99" s="8">
        <f t="shared" si="41"/>
        <v>122367.29999999999</v>
      </c>
      <c r="AL99" s="8">
        <f t="shared" si="41"/>
        <v>125124.40000000002</v>
      </c>
      <c r="AM99" s="8">
        <f t="shared" si="41"/>
        <v>126758.10000000003</v>
      </c>
      <c r="AN99" s="8">
        <f t="shared" si="41"/>
        <v>127877.39999999998</v>
      </c>
      <c r="AO99" s="8">
        <f t="shared" si="41"/>
        <v>129774.40000000002</v>
      </c>
      <c r="AP99" s="8">
        <f t="shared" si="41"/>
        <v>129614.30000000002</v>
      </c>
      <c r="AQ99" s="8">
        <f t="shared" si="41"/>
        <v>125771.7</v>
      </c>
      <c r="AR99" s="8">
        <f t="shared" si="41"/>
        <v>129674.59999999999</v>
      </c>
      <c r="AS99" s="8">
        <f t="shared" si="41"/>
        <v>132664.9</v>
      </c>
      <c r="AT99" s="8">
        <f t="shared" si="41"/>
        <v>134861.6</v>
      </c>
      <c r="AU99" s="8">
        <f t="shared" si="41"/>
        <v>137201.09999999998</v>
      </c>
      <c r="AV99" s="8">
        <f t="shared" si="41"/>
        <v>136829</v>
      </c>
      <c r="AW99" s="8">
        <f t="shared" si="41"/>
        <v>139392</v>
      </c>
      <c r="AX99" s="8">
        <f t="shared" si="41"/>
        <v>144050.5</v>
      </c>
      <c r="AY99" s="8">
        <f t="shared" si="41"/>
        <v>146075.5</v>
      </c>
      <c r="AZ99" s="8">
        <f t="shared" si="41"/>
        <v>151464.50000000003</v>
      </c>
      <c r="BA99" s="8">
        <f t="shared" si="41"/>
        <v>147954.19999999998</v>
      </c>
      <c r="BB99" s="8">
        <f t="shared" si="41"/>
        <v>151441.6</v>
      </c>
      <c r="BC99" s="8">
        <f t="shared" si="41"/>
        <v>150967.9</v>
      </c>
      <c r="BD99" s="8">
        <f t="shared" si="41"/>
        <v>147149.69999999998</v>
      </c>
      <c r="BE99" s="8">
        <f t="shared" si="41"/>
        <v>151186.9</v>
      </c>
      <c r="BF99" s="8">
        <f>BF96-BF98</f>
        <v>148885.2</v>
      </c>
      <c r="BG99" s="136">
        <f>BG96-BG98</f>
        <v>155135.3</v>
      </c>
    </row>
    <row r="100" spans="1:59" ht="12.75">
      <c r="A100" s="21" t="s">
        <v>25</v>
      </c>
      <c r="B100" s="8"/>
      <c r="C100" s="8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136"/>
    </row>
    <row r="101" spans="1:59" ht="12.75">
      <c r="A101" s="21" t="s">
        <v>26</v>
      </c>
      <c r="B101" s="8">
        <v>4677.09</v>
      </c>
      <c r="C101" s="8">
        <v>6397.57</v>
      </c>
      <c r="D101" s="4">
        <v>4987.21</v>
      </c>
      <c r="E101" s="8">
        <v>4222.3</v>
      </c>
      <c r="F101" s="4">
        <v>6754.68</v>
      </c>
      <c r="G101" s="4">
        <v>5112.03</v>
      </c>
      <c r="H101" s="4">
        <v>6445.56</v>
      </c>
      <c r="I101" s="4">
        <v>4098.3</v>
      </c>
      <c r="J101" s="4">
        <v>4046.5</v>
      </c>
      <c r="K101" s="4">
        <v>4402.4</v>
      </c>
      <c r="L101" s="4">
        <v>5104.59</v>
      </c>
      <c r="M101" s="4">
        <v>5066.69</v>
      </c>
      <c r="N101" s="4">
        <v>5816.11</v>
      </c>
      <c r="O101" s="4">
        <v>6324.2</v>
      </c>
      <c r="P101" s="4">
        <v>6187.62</v>
      </c>
      <c r="Q101" s="4">
        <v>7210.92</v>
      </c>
      <c r="R101" s="4">
        <v>8752.65</v>
      </c>
      <c r="S101" s="4">
        <v>4372.6</v>
      </c>
      <c r="T101" s="4">
        <v>5521.1</v>
      </c>
      <c r="U101" s="4">
        <v>4757</v>
      </c>
      <c r="V101" s="4">
        <v>5041.7</v>
      </c>
      <c r="W101" s="4">
        <v>5135.7</v>
      </c>
      <c r="X101" s="4">
        <v>4941.7</v>
      </c>
      <c r="Y101" s="4">
        <v>5303.6</v>
      </c>
      <c r="Z101" s="4">
        <v>5096.5</v>
      </c>
      <c r="AA101" s="4">
        <v>5643.1</v>
      </c>
      <c r="AB101" s="4">
        <v>5985.2</v>
      </c>
      <c r="AC101" s="4">
        <v>6648.3</v>
      </c>
      <c r="AD101" s="4">
        <v>8408.5</v>
      </c>
      <c r="AE101" s="4">
        <v>5347.6</v>
      </c>
      <c r="AF101" s="4">
        <v>4856.1</v>
      </c>
      <c r="AG101" s="4">
        <v>5046.6</v>
      </c>
      <c r="AH101" s="4">
        <v>5592.3</v>
      </c>
      <c r="AI101" s="4">
        <v>5395.2</v>
      </c>
      <c r="AJ101" s="4">
        <v>6030.7</v>
      </c>
      <c r="AK101" s="4">
        <v>6250.1</v>
      </c>
      <c r="AL101" s="4">
        <v>5955.6</v>
      </c>
      <c r="AM101" s="4">
        <v>6225.2</v>
      </c>
      <c r="AN101" s="4">
        <v>6913.8</v>
      </c>
      <c r="AO101" s="4">
        <v>7325.2</v>
      </c>
      <c r="AP101" s="4">
        <v>7411.1</v>
      </c>
      <c r="AQ101" s="4">
        <v>5029.6</v>
      </c>
      <c r="AR101" s="4">
        <v>5557</v>
      </c>
      <c r="AS101" s="4">
        <v>5067</v>
      </c>
      <c r="AT101" s="4">
        <v>5184.9</v>
      </c>
      <c r="AU101" s="4">
        <v>5491.9</v>
      </c>
      <c r="AV101" s="4">
        <v>6806.6</v>
      </c>
      <c r="AW101" s="4">
        <v>5966.3</v>
      </c>
      <c r="AX101" s="4">
        <v>6333.8</v>
      </c>
      <c r="AY101" s="4">
        <v>6593.1</v>
      </c>
      <c r="AZ101" s="4">
        <v>7551.1</v>
      </c>
      <c r="BA101" s="4">
        <v>8202.6</v>
      </c>
      <c r="BB101" s="4">
        <v>6953.2</v>
      </c>
      <c r="BC101" s="4">
        <v>5727.3</v>
      </c>
      <c r="BD101" s="4">
        <v>6199.9</v>
      </c>
      <c r="BE101" s="4">
        <v>6384.5</v>
      </c>
      <c r="BF101" s="4">
        <v>6871.7</v>
      </c>
      <c r="BG101" s="136">
        <v>6852.8</v>
      </c>
    </row>
    <row r="102" spans="1:59" ht="12.75">
      <c r="A102" s="21" t="s">
        <v>27</v>
      </c>
      <c r="B102" s="7">
        <v>62631.7</v>
      </c>
      <c r="C102" s="7">
        <v>79744.9</v>
      </c>
      <c r="D102" s="4">
        <v>92231.6</v>
      </c>
      <c r="E102" s="7">
        <v>92937.3</v>
      </c>
      <c r="F102" s="4">
        <v>106935.2</v>
      </c>
      <c r="G102" s="4">
        <v>114245.7</v>
      </c>
      <c r="H102" s="4">
        <v>118536.9</v>
      </c>
      <c r="I102" s="4">
        <v>114505.8</v>
      </c>
      <c r="J102" s="4">
        <v>112608.4</v>
      </c>
      <c r="K102" s="4">
        <v>115658.9</v>
      </c>
      <c r="L102" s="4">
        <v>111692.5</v>
      </c>
      <c r="M102" s="4">
        <v>112208.9</v>
      </c>
      <c r="N102" s="4">
        <v>113313.2</v>
      </c>
      <c r="O102" s="4">
        <v>111605.2</v>
      </c>
      <c r="P102" s="4">
        <v>113825.8</v>
      </c>
      <c r="Q102" s="4">
        <v>115303.4</v>
      </c>
      <c r="R102" s="4">
        <v>114972.3</v>
      </c>
      <c r="S102" s="4">
        <v>117306.1</v>
      </c>
      <c r="T102" s="4">
        <v>118837.7</v>
      </c>
      <c r="U102" s="4">
        <v>116820</v>
      </c>
      <c r="V102" s="4">
        <v>125715.7</v>
      </c>
      <c r="W102" s="4">
        <v>123748.2</v>
      </c>
      <c r="X102" s="4">
        <v>120339.6</v>
      </c>
      <c r="Y102" s="4">
        <v>126319.2</v>
      </c>
      <c r="Z102" s="4">
        <v>117368.2</v>
      </c>
      <c r="AA102" s="4">
        <v>119818.8</v>
      </c>
      <c r="AB102" s="4">
        <v>124680.9</v>
      </c>
      <c r="AC102" s="4">
        <v>127540.2</v>
      </c>
      <c r="AD102" s="4">
        <v>127573</v>
      </c>
      <c r="AE102" s="4">
        <v>129969.2</v>
      </c>
      <c r="AF102" s="4">
        <v>132766</v>
      </c>
      <c r="AG102" s="4">
        <v>132727.4</v>
      </c>
      <c r="AH102" s="4">
        <v>136613</v>
      </c>
      <c r="AI102" s="4">
        <v>137800</v>
      </c>
      <c r="AJ102" s="4">
        <v>135198.3</v>
      </c>
      <c r="AK102" s="4">
        <v>133089.8</v>
      </c>
      <c r="AL102" s="4">
        <v>134666</v>
      </c>
      <c r="AM102" s="4">
        <v>135410.1</v>
      </c>
      <c r="AN102" s="4">
        <v>136003.5</v>
      </c>
      <c r="AO102" s="4">
        <v>137151.9</v>
      </c>
      <c r="AP102" s="4">
        <v>136151.5</v>
      </c>
      <c r="AQ102" s="4">
        <v>132271.5</v>
      </c>
      <c r="AR102" s="4">
        <v>135280.9</v>
      </c>
      <c r="AS102" s="4">
        <v>137206.8</v>
      </c>
      <c r="AT102" s="4">
        <v>138778.1</v>
      </c>
      <c r="AU102" s="4">
        <v>140447.4</v>
      </c>
      <c r="AV102" s="4">
        <v>139283</v>
      </c>
      <c r="AW102" s="4">
        <v>140971.2</v>
      </c>
      <c r="AX102" s="4">
        <v>145193.5</v>
      </c>
      <c r="AY102" s="4">
        <v>147572</v>
      </c>
      <c r="AZ102" s="4">
        <v>153471.1</v>
      </c>
      <c r="BA102" s="4">
        <v>150549.8</v>
      </c>
      <c r="BB102" s="4">
        <v>152239.8</v>
      </c>
      <c r="BC102" s="4">
        <v>153974.7</v>
      </c>
      <c r="BD102" s="4">
        <v>149727</v>
      </c>
      <c r="BE102" s="4">
        <v>150213</v>
      </c>
      <c r="BF102" s="4">
        <v>151318.4</v>
      </c>
      <c r="BG102" s="136">
        <v>154104.9</v>
      </c>
    </row>
    <row r="103" spans="1:59" ht="12.75">
      <c r="A103" s="60" t="s">
        <v>11</v>
      </c>
      <c r="B103" s="19">
        <v>27903.55</v>
      </c>
      <c r="C103" s="19">
        <v>27337.55</v>
      </c>
      <c r="D103" s="78">
        <v>23809.42</v>
      </c>
      <c r="E103" s="19">
        <v>8730.9</v>
      </c>
      <c r="F103" s="4">
        <v>9502.1</v>
      </c>
      <c r="G103" s="4">
        <v>10622.73</v>
      </c>
      <c r="H103" s="4">
        <v>11665.07</v>
      </c>
      <c r="I103" s="4">
        <v>10728.1</v>
      </c>
      <c r="J103" s="4">
        <v>12047.97</v>
      </c>
      <c r="K103" s="4">
        <v>11289.56</v>
      </c>
      <c r="L103" s="4">
        <v>9187.9</v>
      </c>
      <c r="M103" s="4">
        <v>9685.4</v>
      </c>
      <c r="N103" s="4">
        <v>9545.3</v>
      </c>
      <c r="O103" s="4">
        <v>8499.6</v>
      </c>
      <c r="P103" s="4">
        <v>10677.1</v>
      </c>
      <c r="Q103" s="4">
        <v>10214.1</v>
      </c>
      <c r="R103" s="4">
        <v>8122.7</v>
      </c>
      <c r="S103" s="4">
        <v>10722.3</v>
      </c>
      <c r="T103" s="4">
        <v>11297</v>
      </c>
      <c r="U103" s="4">
        <v>9092.1</v>
      </c>
      <c r="V103" s="4">
        <v>10805.6</v>
      </c>
      <c r="W103" s="4">
        <v>10653.7</v>
      </c>
      <c r="X103" s="4">
        <v>10270.1</v>
      </c>
      <c r="Y103" s="4">
        <v>11427.4</v>
      </c>
      <c r="Z103" s="4">
        <v>11267.2</v>
      </c>
      <c r="AA103" s="4">
        <v>10784.3</v>
      </c>
      <c r="AB103" s="4">
        <v>10895.3</v>
      </c>
      <c r="AC103" s="4">
        <v>10732.7</v>
      </c>
      <c r="AD103" s="4">
        <v>10547.6</v>
      </c>
      <c r="AE103" s="4">
        <v>10233</v>
      </c>
      <c r="AF103" s="4">
        <v>10831.8</v>
      </c>
      <c r="AG103" s="4">
        <v>10561.9</v>
      </c>
      <c r="AH103" s="4">
        <v>10489.7</v>
      </c>
      <c r="AI103" s="4">
        <v>9423.6</v>
      </c>
      <c r="AJ103" s="4">
        <v>9785</v>
      </c>
      <c r="AK103" s="4">
        <v>11064.4</v>
      </c>
      <c r="AL103" s="4">
        <v>9849</v>
      </c>
      <c r="AM103" s="4">
        <v>9125.7</v>
      </c>
      <c r="AN103" s="4">
        <v>8441.7</v>
      </c>
      <c r="AO103" s="4">
        <v>7776.4</v>
      </c>
      <c r="AP103" s="4">
        <v>6911.3</v>
      </c>
      <c r="AQ103" s="4">
        <v>6742.5</v>
      </c>
      <c r="AR103" s="4">
        <v>5846.4</v>
      </c>
      <c r="AS103" s="4">
        <v>4903.7</v>
      </c>
      <c r="AT103" s="4">
        <v>4144.6</v>
      </c>
      <c r="AU103" s="4">
        <v>3468.9</v>
      </c>
      <c r="AV103" s="4">
        <v>2816.1</v>
      </c>
      <c r="AW103" s="4">
        <v>1859.3</v>
      </c>
      <c r="AX103" s="4">
        <v>1540.9</v>
      </c>
      <c r="AY103" s="4">
        <v>1891.9</v>
      </c>
      <c r="AZ103" s="4">
        <v>2399</v>
      </c>
      <c r="BA103" s="4">
        <v>2990.1</v>
      </c>
      <c r="BB103" s="4">
        <v>3328.3</v>
      </c>
      <c r="BC103" s="4">
        <v>3417.6</v>
      </c>
      <c r="BD103" s="4">
        <v>2976.8</v>
      </c>
      <c r="BE103" s="4">
        <v>2598.1</v>
      </c>
      <c r="BF103" s="4">
        <v>2829.3</v>
      </c>
      <c r="BG103" s="136">
        <v>2700.1</v>
      </c>
    </row>
    <row r="104" spans="1:59" ht="12.75">
      <c r="A104" s="21" t="s">
        <v>28</v>
      </c>
      <c r="B104" s="7">
        <v>6995.13</v>
      </c>
      <c r="C104" s="7">
        <v>3619.85</v>
      </c>
      <c r="D104" s="4">
        <v>1953.9</v>
      </c>
      <c r="E104" s="7">
        <v>2259.5</v>
      </c>
      <c r="F104" s="4">
        <v>2031.4</v>
      </c>
      <c r="G104" s="4">
        <v>774.6</v>
      </c>
      <c r="H104" s="4">
        <v>789.5</v>
      </c>
      <c r="I104" s="4">
        <v>2018.2</v>
      </c>
      <c r="J104" s="4">
        <v>850.8</v>
      </c>
      <c r="K104" s="4">
        <v>893.9</v>
      </c>
      <c r="L104" s="4">
        <v>2010.4</v>
      </c>
      <c r="M104" s="4">
        <v>848.2</v>
      </c>
      <c r="N104" s="4">
        <v>709</v>
      </c>
      <c r="O104" s="4">
        <v>1903.8</v>
      </c>
      <c r="P104" s="4">
        <v>819.5</v>
      </c>
      <c r="Q104" s="4">
        <v>593.5</v>
      </c>
      <c r="R104" s="4">
        <v>1605.6</v>
      </c>
      <c r="S104" s="4">
        <v>1806.8</v>
      </c>
      <c r="T104" s="4">
        <v>1917.2</v>
      </c>
      <c r="U104" s="4">
        <v>1800</v>
      </c>
      <c r="V104" s="4">
        <v>1783.4</v>
      </c>
      <c r="W104" s="4">
        <v>1801.4</v>
      </c>
      <c r="X104" s="4">
        <v>1724.2</v>
      </c>
      <c r="Y104" s="4">
        <v>1438</v>
      </c>
      <c r="Z104" s="4">
        <v>1424.1</v>
      </c>
      <c r="AA104" s="4">
        <v>1658.6</v>
      </c>
      <c r="AB104" s="4">
        <v>1409.3</v>
      </c>
      <c r="AC104" s="4">
        <v>1242.5</v>
      </c>
      <c r="AD104" s="4">
        <v>1443.8</v>
      </c>
      <c r="AE104" s="4">
        <v>1231.1</v>
      </c>
      <c r="AF104" s="4">
        <v>1388.5</v>
      </c>
      <c r="AG104" s="4">
        <v>1626.5</v>
      </c>
      <c r="AH104" s="4">
        <v>1404.7</v>
      </c>
      <c r="AI104" s="4">
        <v>1177.5</v>
      </c>
      <c r="AJ104" s="4">
        <v>769.5</v>
      </c>
      <c r="AK104" s="4">
        <v>732.9</v>
      </c>
      <c r="AL104" s="4">
        <v>642.2</v>
      </c>
      <c r="AM104" s="4">
        <v>910.2</v>
      </c>
      <c r="AN104" s="4">
        <v>654.8</v>
      </c>
      <c r="AO104" s="4">
        <v>717.7</v>
      </c>
      <c r="AP104" s="4">
        <v>880.6</v>
      </c>
      <c r="AQ104" s="4">
        <v>686.3</v>
      </c>
      <c r="AR104" s="4">
        <v>633.4</v>
      </c>
      <c r="AS104" s="4">
        <v>871.2</v>
      </c>
      <c r="AT104" s="4">
        <v>598.5</v>
      </c>
      <c r="AU104" s="4">
        <v>631.5</v>
      </c>
      <c r="AV104" s="4">
        <v>860.3</v>
      </c>
      <c r="AW104" s="4">
        <v>687.7</v>
      </c>
      <c r="AX104" s="4">
        <v>903</v>
      </c>
      <c r="AY104" s="4">
        <v>898.6</v>
      </c>
      <c r="AZ104" s="4">
        <v>799.6</v>
      </c>
      <c r="BA104" s="4">
        <v>845.8</v>
      </c>
      <c r="BB104" s="4">
        <v>2921.2</v>
      </c>
      <c r="BC104" s="4">
        <v>870.3</v>
      </c>
      <c r="BD104" s="4">
        <v>854</v>
      </c>
      <c r="BE104" s="4">
        <v>4123.6</v>
      </c>
      <c r="BF104" s="4">
        <v>846.6</v>
      </c>
      <c r="BG104" s="136">
        <v>4336.9</v>
      </c>
    </row>
    <row r="105" spans="1:59" ht="12.75">
      <c r="A105" s="60" t="s">
        <v>11</v>
      </c>
      <c r="B105" s="19">
        <v>356.9</v>
      </c>
      <c r="C105" s="19">
        <v>2548.4</v>
      </c>
      <c r="D105" s="78">
        <v>369.9</v>
      </c>
      <c r="E105" s="19">
        <v>381.5</v>
      </c>
      <c r="F105" s="4">
        <v>323.7</v>
      </c>
      <c r="G105" s="4">
        <v>314.8</v>
      </c>
      <c r="H105" s="4">
        <v>325.5</v>
      </c>
      <c r="I105" s="4">
        <f>408.5+4.8</f>
        <v>413.3</v>
      </c>
      <c r="J105" s="4">
        <v>415.6</v>
      </c>
      <c r="K105" s="4">
        <v>458.4</v>
      </c>
      <c r="L105" s="4">
        <f>462+5.62</f>
        <v>467.62</v>
      </c>
      <c r="M105" s="4">
        <v>437.9</v>
      </c>
      <c r="N105" s="4">
        <v>317</v>
      </c>
      <c r="O105" s="4">
        <f>441.8+6.44</f>
        <v>448.24</v>
      </c>
      <c r="P105" s="4">
        <v>426.4</v>
      </c>
      <c r="Q105" s="4">
        <v>201.3</v>
      </c>
      <c r="R105" s="4">
        <v>121.3</v>
      </c>
      <c r="S105" s="4">
        <v>213.3</v>
      </c>
      <c r="T105" s="4">
        <v>338.6</v>
      </c>
      <c r="U105" s="4">
        <v>382.6</v>
      </c>
      <c r="V105" s="4">
        <v>317.2</v>
      </c>
      <c r="W105" s="4">
        <v>339.5</v>
      </c>
      <c r="X105" s="4">
        <v>347.9</v>
      </c>
      <c r="Y105" s="4">
        <v>333.4</v>
      </c>
      <c r="Z105" s="4">
        <v>327.6</v>
      </c>
      <c r="AA105" s="4">
        <v>343</v>
      </c>
      <c r="AB105" s="4">
        <v>333.7</v>
      </c>
      <c r="AC105" s="4">
        <v>281.6</v>
      </c>
      <c r="AD105" s="4">
        <v>184.3</v>
      </c>
      <c r="AE105" s="4">
        <v>285.3</v>
      </c>
      <c r="AF105" s="4">
        <v>361</v>
      </c>
      <c r="AG105" s="4">
        <v>422.8</v>
      </c>
      <c r="AH105" s="4">
        <v>390.5</v>
      </c>
      <c r="AI105" s="4">
        <v>170.7</v>
      </c>
      <c r="AJ105" s="4">
        <v>257.7</v>
      </c>
      <c r="AK105" s="4">
        <v>391</v>
      </c>
      <c r="AL105" s="4">
        <v>334.8</v>
      </c>
      <c r="AM105" s="4">
        <v>436.5</v>
      </c>
      <c r="AN105" s="4">
        <v>339.2</v>
      </c>
      <c r="AO105" s="4">
        <v>318.8</v>
      </c>
      <c r="AP105" s="4">
        <v>506.5</v>
      </c>
      <c r="AQ105" s="4">
        <v>443.6</v>
      </c>
      <c r="AR105" s="4">
        <v>393.3</v>
      </c>
      <c r="AS105" s="4">
        <v>509.4</v>
      </c>
      <c r="AT105" s="4">
        <v>370.4</v>
      </c>
      <c r="AU105" s="4">
        <v>408.9</v>
      </c>
      <c r="AV105" s="4">
        <v>498.2</v>
      </c>
      <c r="AW105" s="4">
        <v>407.6</v>
      </c>
      <c r="AX105" s="4">
        <v>505.1</v>
      </c>
      <c r="AY105" s="4">
        <v>503.2</v>
      </c>
      <c r="AZ105" s="4">
        <v>407.2</v>
      </c>
      <c r="BA105" s="4">
        <v>451.3</v>
      </c>
      <c r="BB105" s="4">
        <v>391.1</v>
      </c>
      <c r="BC105" s="4">
        <v>459.5</v>
      </c>
      <c r="BD105" s="4">
        <v>454.5</v>
      </c>
      <c r="BE105" s="4">
        <v>551.6</v>
      </c>
      <c r="BF105" s="4">
        <v>450.5</v>
      </c>
      <c r="BG105" s="136">
        <v>606.4</v>
      </c>
    </row>
    <row r="106" spans="1:59" ht="12.75">
      <c r="A106" s="21" t="s">
        <v>29</v>
      </c>
      <c r="B106" s="6"/>
      <c r="C106" s="6"/>
      <c r="D106" s="2"/>
      <c r="E106" s="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136"/>
    </row>
    <row r="107" spans="1:59" ht="12.75">
      <c r="A107" s="21" t="s">
        <v>30</v>
      </c>
      <c r="B107" s="79">
        <v>51372.8</v>
      </c>
      <c r="C107" s="8">
        <v>69653</v>
      </c>
      <c r="D107" s="4">
        <f>80119.8+157.5-1647.5</f>
        <v>78629.8</v>
      </c>
      <c r="E107" s="4">
        <f>78682.8+176-2227</f>
        <v>76631.8</v>
      </c>
      <c r="F107" s="4">
        <v>82042.9</v>
      </c>
      <c r="G107" s="4">
        <v>85728.1</v>
      </c>
      <c r="H107" s="4">
        <v>91422.1</v>
      </c>
      <c r="I107" s="4">
        <f>I96-I108-I109</f>
        <v>88541.05000000002</v>
      </c>
      <c r="J107" s="4">
        <f aca="true" t="shared" si="42" ref="J107:O107">J96-J108-J109</f>
        <v>85603.4</v>
      </c>
      <c r="K107" s="4">
        <f t="shared" si="42"/>
        <v>88631.49999999999</v>
      </c>
      <c r="L107" s="4">
        <f t="shared" si="42"/>
        <v>86357.84999999999</v>
      </c>
      <c r="M107" s="4">
        <f t="shared" si="42"/>
        <v>90118.79000000001</v>
      </c>
      <c r="N107" s="4">
        <f t="shared" si="42"/>
        <v>91707.51</v>
      </c>
      <c r="O107" s="4">
        <f t="shared" si="42"/>
        <v>90817.09999999999</v>
      </c>
      <c r="P107" s="4">
        <v>89554.1</v>
      </c>
      <c r="Q107" s="4">
        <v>92272.1</v>
      </c>
      <c r="R107" s="4">
        <v>93428.1</v>
      </c>
      <c r="S107" s="4">
        <v>91266.7</v>
      </c>
      <c r="T107" s="4">
        <v>93518.2</v>
      </c>
      <c r="U107" s="4">
        <v>90590.5</v>
      </c>
      <c r="V107" s="4">
        <v>99663.4</v>
      </c>
      <c r="W107" s="4">
        <v>97006.7</v>
      </c>
      <c r="X107" s="4">
        <v>94827.2</v>
      </c>
      <c r="Y107" s="4">
        <v>102024.8</v>
      </c>
      <c r="Z107" s="4">
        <v>92713.7</v>
      </c>
      <c r="AA107" s="4">
        <v>96098.2</v>
      </c>
      <c r="AB107" s="4">
        <v>99218.3</v>
      </c>
      <c r="AC107" s="4">
        <v>102226.9</v>
      </c>
      <c r="AD107" s="4">
        <v>104793.5</v>
      </c>
      <c r="AE107" s="4">
        <v>104044.2</v>
      </c>
      <c r="AF107" s="4">
        <v>106362.8</v>
      </c>
      <c r="AG107" s="4">
        <v>106565.6</v>
      </c>
      <c r="AH107" s="4">
        <v>109642.6</v>
      </c>
      <c r="AI107" s="4">
        <v>110515</v>
      </c>
      <c r="AJ107" s="4">
        <v>108291.2</v>
      </c>
      <c r="AK107" s="4">
        <v>106189.6</v>
      </c>
      <c r="AL107" s="4">
        <v>107817.2</v>
      </c>
      <c r="AM107" s="4">
        <v>109681</v>
      </c>
      <c r="AN107" s="4">
        <v>110791.8</v>
      </c>
      <c r="AO107" s="4">
        <v>111697.8</v>
      </c>
      <c r="AP107" s="4">
        <v>110840.1</v>
      </c>
      <c r="AQ107" s="4">
        <v>104666.8</v>
      </c>
      <c r="AR107" s="4">
        <v>107260.5</v>
      </c>
      <c r="AS107" s="4">
        <v>108391</v>
      </c>
      <c r="AT107" s="4">
        <v>110008.8</v>
      </c>
      <c r="AU107" s="4">
        <v>111236.4</v>
      </c>
      <c r="AV107" s="4">
        <v>113729.6</v>
      </c>
      <c r="AW107" s="4">
        <v>115008.8</v>
      </c>
      <c r="AX107" s="4">
        <v>118957.6</v>
      </c>
      <c r="AY107" s="4">
        <v>119137</v>
      </c>
      <c r="AZ107" s="4">
        <v>124268.9</v>
      </c>
      <c r="BA107" s="4">
        <v>121843.9</v>
      </c>
      <c r="BB107" s="4">
        <v>122998.2</v>
      </c>
      <c r="BC107" s="4">
        <v>123424.8</v>
      </c>
      <c r="BD107" s="4">
        <v>120003.9</v>
      </c>
      <c r="BE107" s="4">
        <v>124353.9</v>
      </c>
      <c r="BF107" s="4">
        <v>122140</v>
      </c>
      <c r="BG107" s="136">
        <v>126631.1</v>
      </c>
    </row>
    <row r="108" spans="1:59" ht="12.75">
      <c r="A108" s="21" t="s">
        <v>31</v>
      </c>
      <c r="B108" s="80">
        <v>22931.1</v>
      </c>
      <c r="C108" s="7">
        <v>20109.3</v>
      </c>
      <c r="D108" s="4">
        <f>20053.6+489.3</f>
        <v>20542.899999999998</v>
      </c>
      <c r="E108" s="4">
        <f>22291.7+495.6</f>
        <v>22787.3</v>
      </c>
      <c r="F108" s="4">
        <f>31596.9+495.3</f>
        <v>32092.2</v>
      </c>
      <c r="G108" s="4">
        <v>32639.3</v>
      </c>
      <c r="H108" s="4">
        <v>32586.7</v>
      </c>
      <c r="I108" s="4">
        <v>30360.6</v>
      </c>
      <c r="J108" s="4">
        <v>30271.5</v>
      </c>
      <c r="K108" s="4">
        <v>30701.4</v>
      </c>
      <c r="L108" s="4">
        <v>30828</v>
      </c>
      <c r="M108" s="4">
        <v>26473.6</v>
      </c>
      <c r="N108" s="4">
        <v>26590.7</v>
      </c>
      <c r="O108" s="4">
        <v>27229.8</v>
      </c>
      <c r="P108" s="4">
        <v>28972.6</v>
      </c>
      <c r="Q108" s="4">
        <v>28290.4</v>
      </c>
      <c r="R108" s="4">
        <v>29333.05</v>
      </c>
      <c r="S108" s="4">
        <v>29397.8</v>
      </c>
      <c r="T108" s="4">
        <v>29693.8</v>
      </c>
      <c r="U108" s="4">
        <v>29433.2</v>
      </c>
      <c r="V108" s="4">
        <v>29429.8</v>
      </c>
      <c r="W108" s="4">
        <v>30105.6</v>
      </c>
      <c r="X108" s="4">
        <v>28409.2</v>
      </c>
      <c r="Y108" s="4">
        <v>27313.3</v>
      </c>
      <c r="Z108" s="4">
        <v>27896.9</v>
      </c>
      <c r="AA108" s="4">
        <v>27403.6</v>
      </c>
      <c r="AB108" s="4">
        <v>28999.65</v>
      </c>
      <c r="AC108" s="4">
        <v>29240.6</v>
      </c>
      <c r="AD108" s="4">
        <v>29075</v>
      </c>
      <c r="AE108" s="4">
        <v>29302.4</v>
      </c>
      <c r="AF108" s="4">
        <v>29614.8</v>
      </c>
      <c r="AG108" s="4">
        <v>29931.2</v>
      </c>
      <c r="AH108" s="4">
        <v>31211.2</v>
      </c>
      <c r="AI108" s="4">
        <v>31091.2</v>
      </c>
      <c r="AJ108" s="4">
        <v>30994.6</v>
      </c>
      <c r="AK108" s="4">
        <v>31123</v>
      </c>
      <c r="AL108" s="4">
        <v>30686.8</v>
      </c>
      <c r="AM108" s="4">
        <v>30107</v>
      </c>
      <c r="AN108" s="4">
        <v>30023.3</v>
      </c>
      <c r="AO108" s="4">
        <v>30658.9</v>
      </c>
      <c r="AP108" s="4">
        <v>30695</v>
      </c>
      <c r="AQ108" s="4">
        <v>30356.2</v>
      </c>
      <c r="AR108" s="4">
        <v>31135.5</v>
      </c>
      <c r="AS108" s="4">
        <v>31665.2</v>
      </c>
      <c r="AT108" s="4">
        <v>31255.9</v>
      </c>
      <c r="AU108" s="4">
        <v>31816.4</v>
      </c>
      <c r="AV108" s="4">
        <v>29619.3</v>
      </c>
      <c r="AW108" s="4">
        <v>29031.6</v>
      </c>
      <c r="AX108" s="4">
        <v>29721.7</v>
      </c>
      <c r="AY108" s="4">
        <v>32015.7</v>
      </c>
      <c r="AZ108" s="4">
        <v>33361.6</v>
      </c>
      <c r="BA108" s="4">
        <v>33512.7</v>
      </c>
      <c r="BB108" s="4">
        <v>34769.3</v>
      </c>
      <c r="BC108" s="4">
        <v>32700.4</v>
      </c>
      <c r="BD108" s="4">
        <v>32302.5</v>
      </c>
      <c r="BE108" s="4">
        <v>31776.6</v>
      </c>
      <c r="BF108" s="4">
        <v>32254.6</v>
      </c>
      <c r="BG108" s="136">
        <v>33964.6</v>
      </c>
    </row>
    <row r="109" spans="1:59" ht="12.75">
      <c r="A109" s="21" t="s">
        <v>32</v>
      </c>
      <c r="B109" s="7">
        <v>0</v>
      </c>
      <c r="C109" s="7">
        <v>0</v>
      </c>
      <c r="D109" s="4">
        <v>0</v>
      </c>
      <c r="E109" s="4">
        <v>0</v>
      </c>
      <c r="F109" s="4">
        <v>1586.24</v>
      </c>
      <c r="G109" s="4">
        <v>1764.9</v>
      </c>
      <c r="H109" s="4">
        <v>1763.2</v>
      </c>
      <c r="I109" s="4">
        <v>1720.65</v>
      </c>
      <c r="J109" s="4">
        <v>1630.8</v>
      </c>
      <c r="K109" s="4">
        <v>1622.3</v>
      </c>
      <c r="L109" s="4">
        <v>1621.64</v>
      </c>
      <c r="M109" s="4">
        <v>1531.4</v>
      </c>
      <c r="N109" s="4">
        <v>1540.1</v>
      </c>
      <c r="O109" s="4">
        <v>1786.3</v>
      </c>
      <c r="P109" s="4">
        <v>2306.2</v>
      </c>
      <c r="Q109" s="4">
        <v>2545.4</v>
      </c>
      <c r="R109" s="4">
        <v>2569.35</v>
      </c>
      <c r="S109" s="4">
        <v>2821</v>
      </c>
      <c r="T109" s="4">
        <v>3064</v>
      </c>
      <c r="U109" s="4">
        <v>3353.4</v>
      </c>
      <c r="V109" s="4">
        <v>3447.6</v>
      </c>
      <c r="W109" s="4">
        <v>3572.9</v>
      </c>
      <c r="X109" s="4">
        <v>3769</v>
      </c>
      <c r="Y109" s="4">
        <v>3722.6</v>
      </c>
      <c r="Z109" s="4">
        <v>3278.24</v>
      </c>
      <c r="AA109" s="4">
        <v>3619</v>
      </c>
      <c r="AB109" s="4">
        <v>3857.45</v>
      </c>
      <c r="AC109" s="4">
        <v>3963.5</v>
      </c>
      <c r="AD109" s="4">
        <v>3556.7</v>
      </c>
      <c r="AE109" s="4">
        <v>3201.3</v>
      </c>
      <c r="AF109" s="4">
        <v>3033</v>
      </c>
      <c r="AG109" s="4">
        <v>2903.6</v>
      </c>
      <c r="AH109" s="4">
        <v>2756.1</v>
      </c>
      <c r="AI109" s="4">
        <v>2766.5</v>
      </c>
      <c r="AJ109" s="4">
        <v>2712.7</v>
      </c>
      <c r="AK109" s="4">
        <v>2760.2</v>
      </c>
      <c r="AL109" s="4">
        <v>2759.8</v>
      </c>
      <c r="AM109" s="4">
        <v>2757.4</v>
      </c>
      <c r="AN109" s="4">
        <v>2757</v>
      </c>
      <c r="AO109" s="4">
        <v>2838.1</v>
      </c>
      <c r="AP109" s="4">
        <v>2908.1</v>
      </c>
      <c r="AQ109" s="4">
        <v>2964.4</v>
      </c>
      <c r="AR109" s="4">
        <v>3075.3</v>
      </c>
      <c r="AS109" s="4">
        <v>3088.8</v>
      </c>
      <c r="AT109" s="4">
        <v>3296.9</v>
      </c>
      <c r="AU109" s="4">
        <v>3518</v>
      </c>
      <c r="AV109" s="4">
        <v>3601</v>
      </c>
      <c r="AW109" s="4">
        <v>3584.8</v>
      </c>
      <c r="AX109" s="4">
        <v>3751</v>
      </c>
      <c r="AY109" s="4">
        <v>3911</v>
      </c>
      <c r="AZ109" s="4">
        <v>4191.3</v>
      </c>
      <c r="BA109" s="4">
        <v>4241.6</v>
      </c>
      <c r="BB109" s="4">
        <v>4346.8</v>
      </c>
      <c r="BC109" s="4">
        <v>4447.1</v>
      </c>
      <c r="BD109" s="4">
        <v>4474.6</v>
      </c>
      <c r="BE109" s="4">
        <v>4590.6</v>
      </c>
      <c r="BF109" s="4">
        <v>4642.2</v>
      </c>
      <c r="BG109" s="136">
        <v>4698.9</v>
      </c>
    </row>
    <row r="110" spans="1:59" ht="12.75">
      <c r="A110" s="21" t="s">
        <v>33</v>
      </c>
      <c r="B110" s="7">
        <v>-0.029999999998835847</v>
      </c>
      <c r="C110" s="7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136">
        <v>0</v>
      </c>
    </row>
    <row r="111" spans="1:61" s="86" customFormat="1" ht="12.75">
      <c r="A111" s="155" t="s">
        <v>39</v>
      </c>
      <c r="B111" s="159">
        <v>80458.03</v>
      </c>
      <c r="C111" s="159">
        <v>96313.98</v>
      </c>
      <c r="D111" s="159">
        <v>108522.58</v>
      </c>
      <c r="E111" s="159">
        <v>114901.98</v>
      </c>
      <c r="F111" s="159">
        <v>121813.24</v>
      </c>
      <c r="G111" s="159">
        <v>122563.1</v>
      </c>
      <c r="H111" s="159">
        <v>128634.95</v>
      </c>
      <c r="I111" s="159">
        <v>127511.11</v>
      </c>
      <c r="J111" s="159">
        <v>124069.96</v>
      </c>
      <c r="K111" s="159">
        <v>123829.24</v>
      </c>
      <c r="L111" s="159">
        <v>124294.57</v>
      </c>
      <c r="M111" s="159">
        <v>120749.63</v>
      </c>
      <c r="N111" s="159">
        <v>123476.9</v>
      </c>
      <c r="O111" s="159">
        <v>123476.9</v>
      </c>
      <c r="P111" s="159">
        <v>123476.9</v>
      </c>
      <c r="Q111" s="159">
        <v>123476.9</v>
      </c>
      <c r="R111" s="159">
        <v>123476.9</v>
      </c>
      <c r="S111" s="159">
        <v>123476.9</v>
      </c>
      <c r="T111" s="159">
        <v>123476.9</v>
      </c>
      <c r="U111" s="159">
        <v>123476.9</v>
      </c>
      <c r="V111" s="159">
        <v>123476.9</v>
      </c>
      <c r="W111" s="159">
        <v>123476.9</v>
      </c>
      <c r="X111" s="159">
        <v>123476.9</v>
      </c>
      <c r="Y111" s="159">
        <v>123476.9</v>
      </c>
      <c r="Z111" s="159">
        <v>123476.9</v>
      </c>
      <c r="AA111" s="159">
        <v>123476.9</v>
      </c>
      <c r="AB111" s="159">
        <v>123476.9</v>
      </c>
      <c r="AC111" s="159">
        <v>123476.9</v>
      </c>
      <c r="AD111" s="159">
        <v>123476.9</v>
      </c>
      <c r="AE111" s="159">
        <v>123476.9</v>
      </c>
      <c r="AF111" s="159">
        <v>123476.9</v>
      </c>
      <c r="AG111" s="159">
        <v>123476.9</v>
      </c>
      <c r="AH111" s="159">
        <v>123476.9</v>
      </c>
      <c r="AI111" s="159">
        <v>123476.9</v>
      </c>
      <c r="AJ111" s="159">
        <v>123476.9</v>
      </c>
      <c r="AK111" s="159">
        <v>123476.9</v>
      </c>
      <c r="AL111" s="159">
        <v>123476.9</v>
      </c>
      <c r="AM111" s="159">
        <v>123476.9</v>
      </c>
      <c r="AN111" s="159">
        <v>123476.9</v>
      </c>
      <c r="AO111" s="159">
        <v>123476.9</v>
      </c>
      <c r="AP111" s="159">
        <v>123476.9</v>
      </c>
      <c r="AQ111" s="159">
        <v>123476.9</v>
      </c>
      <c r="AR111" s="159">
        <v>123476.9</v>
      </c>
      <c r="AS111" s="159">
        <v>123476.9</v>
      </c>
      <c r="AT111" s="159">
        <v>123476.9</v>
      </c>
      <c r="AU111" s="159">
        <v>123476.9</v>
      </c>
      <c r="AV111" s="159">
        <v>123476.9</v>
      </c>
      <c r="AW111" s="159">
        <v>123476.9</v>
      </c>
      <c r="AX111" s="159">
        <v>123476.9</v>
      </c>
      <c r="AY111" s="159">
        <v>123476.9</v>
      </c>
      <c r="AZ111" s="159">
        <v>123476.9</v>
      </c>
      <c r="BA111" s="159">
        <v>123476.9</v>
      </c>
      <c r="BB111" s="159">
        <v>123476.9</v>
      </c>
      <c r="BC111" s="159">
        <v>123476.9</v>
      </c>
      <c r="BD111" s="159">
        <v>123476.9</v>
      </c>
      <c r="BE111" s="159">
        <v>123476.9</v>
      </c>
      <c r="BF111" s="159">
        <v>123476.9</v>
      </c>
      <c r="BG111" s="159">
        <v>123476.9</v>
      </c>
      <c r="BH111" s="85"/>
      <c r="BI111" s="85"/>
    </row>
    <row r="112" spans="1:59" ht="25.5">
      <c r="A112" s="62" t="s">
        <v>40</v>
      </c>
      <c r="B112" s="6">
        <f aca="true" t="shared" si="43" ref="B112:BC112">B114+B115</f>
        <v>7626.8</v>
      </c>
      <c r="C112" s="6">
        <f t="shared" si="43"/>
        <v>8401.2</v>
      </c>
      <c r="D112" s="2">
        <f t="shared" si="43"/>
        <v>9329.88</v>
      </c>
      <c r="E112" s="2">
        <f t="shared" si="43"/>
        <v>9318.9</v>
      </c>
      <c r="F112" s="2">
        <f>F114+F115</f>
        <v>9818.4</v>
      </c>
      <c r="G112" s="2">
        <f t="shared" si="43"/>
        <v>9344.27</v>
      </c>
      <c r="H112" s="2">
        <f t="shared" si="43"/>
        <v>9342.25</v>
      </c>
      <c r="I112" s="2">
        <f t="shared" si="43"/>
        <v>9341.6</v>
      </c>
      <c r="J112" s="2">
        <f t="shared" si="43"/>
        <v>9291.289999999999</v>
      </c>
      <c r="K112" s="2">
        <f t="shared" si="43"/>
        <v>11030.2</v>
      </c>
      <c r="L112" s="2">
        <f t="shared" si="43"/>
        <v>10638.279999999999</v>
      </c>
      <c r="M112" s="2">
        <f t="shared" si="43"/>
        <v>10459.4</v>
      </c>
      <c r="N112" s="2">
        <f t="shared" si="43"/>
        <v>10493.88</v>
      </c>
      <c r="O112" s="2">
        <f t="shared" si="43"/>
        <v>10555.6</v>
      </c>
      <c r="P112" s="2">
        <f t="shared" si="43"/>
        <v>10494.17</v>
      </c>
      <c r="Q112" s="2">
        <f t="shared" si="43"/>
        <v>10452.39</v>
      </c>
      <c r="R112" s="2">
        <f t="shared" si="43"/>
        <v>10751.2</v>
      </c>
      <c r="S112" s="2">
        <f t="shared" si="43"/>
        <v>10641.300000000001</v>
      </c>
      <c r="T112" s="2">
        <f t="shared" si="43"/>
        <v>10692.4</v>
      </c>
      <c r="U112" s="2">
        <f t="shared" si="43"/>
        <v>10766.3</v>
      </c>
      <c r="V112" s="2">
        <f t="shared" si="43"/>
        <v>10627.4</v>
      </c>
      <c r="W112" s="2">
        <f t="shared" si="43"/>
        <v>10580.599999999999</v>
      </c>
      <c r="X112" s="2">
        <f t="shared" si="43"/>
        <v>10620.400000000001</v>
      </c>
      <c r="Y112" s="2">
        <f t="shared" si="43"/>
        <v>10489.4</v>
      </c>
      <c r="Z112" s="2">
        <f t="shared" si="43"/>
        <v>10444.8</v>
      </c>
      <c r="AA112" s="2">
        <f t="shared" si="43"/>
        <v>10555.5</v>
      </c>
      <c r="AB112" s="2">
        <f t="shared" si="43"/>
        <v>10407.9</v>
      </c>
      <c r="AC112" s="2">
        <f t="shared" si="43"/>
        <v>10410.1</v>
      </c>
      <c r="AD112" s="2">
        <f t="shared" si="43"/>
        <v>10859.7</v>
      </c>
      <c r="AE112" s="2">
        <f t="shared" si="43"/>
        <v>10479.9</v>
      </c>
      <c r="AF112" s="2">
        <f t="shared" si="43"/>
        <v>10500.1</v>
      </c>
      <c r="AG112" s="2">
        <f t="shared" si="43"/>
        <v>10896.1</v>
      </c>
      <c r="AH112" s="2">
        <f t="shared" si="43"/>
        <v>10714.5</v>
      </c>
      <c r="AI112" s="2">
        <f t="shared" si="43"/>
        <v>10593.5</v>
      </c>
      <c r="AJ112" s="2">
        <f t="shared" si="43"/>
        <v>10669.2</v>
      </c>
      <c r="AK112" s="2">
        <f t="shared" si="43"/>
        <v>10557</v>
      </c>
      <c r="AL112" s="2">
        <f t="shared" si="43"/>
        <v>10561.099999999999</v>
      </c>
      <c r="AM112" s="2">
        <f t="shared" si="43"/>
        <v>10642.15</v>
      </c>
      <c r="AN112" s="2">
        <f t="shared" si="43"/>
        <v>10549.6</v>
      </c>
      <c r="AO112" s="2">
        <f t="shared" si="43"/>
        <v>10593.699999999999</v>
      </c>
      <c r="AP112" s="2">
        <f t="shared" si="43"/>
        <v>10585.8</v>
      </c>
      <c r="AQ112" s="2">
        <f t="shared" si="43"/>
        <v>10485.8</v>
      </c>
      <c r="AR112" s="2">
        <f t="shared" si="43"/>
        <v>10431.2</v>
      </c>
      <c r="AS112" s="2">
        <f t="shared" si="43"/>
        <v>10513</v>
      </c>
      <c r="AT112" s="2">
        <f t="shared" si="43"/>
        <v>10921.2</v>
      </c>
      <c r="AU112" s="2">
        <f t="shared" si="43"/>
        <v>10335.7</v>
      </c>
      <c r="AV112" s="2">
        <f t="shared" si="43"/>
        <v>10434.1</v>
      </c>
      <c r="AW112" s="2">
        <f t="shared" si="43"/>
        <v>10281.6</v>
      </c>
      <c r="AX112" s="2">
        <f t="shared" si="43"/>
        <v>10462.6</v>
      </c>
      <c r="AY112" s="2">
        <f t="shared" si="43"/>
        <v>10487.4</v>
      </c>
      <c r="AZ112" s="2">
        <f t="shared" si="43"/>
        <v>10414.8</v>
      </c>
      <c r="BA112" s="2">
        <f t="shared" si="43"/>
        <v>10410.9</v>
      </c>
      <c r="BB112" s="2">
        <f t="shared" si="43"/>
        <v>10131.9</v>
      </c>
      <c r="BC112" s="2">
        <f t="shared" si="43"/>
        <v>10405.9</v>
      </c>
      <c r="BD112" s="2">
        <f>BD114+BD115</f>
        <v>10444</v>
      </c>
      <c r="BE112" s="2">
        <f>BE114+BE115</f>
        <v>10375</v>
      </c>
      <c r="BF112" s="2">
        <f>BF114+BF115</f>
        <v>10316.7</v>
      </c>
      <c r="BG112" s="140">
        <f>BG114+BG115</f>
        <v>10361.5</v>
      </c>
    </row>
    <row r="113" spans="1:59" ht="12.75">
      <c r="A113" s="21" t="s">
        <v>22</v>
      </c>
      <c r="B113" s="7"/>
      <c r="C113" s="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136"/>
    </row>
    <row r="114" spans="1:59" ht="12.75">
      <c r="A114" s="21" t="s">
        <v>23</v>
      </c>
      <c r="B114" s="7">
        <f aca="true" t="shared" si="44" ref="B114:BD114">B118+B120</f>
        <v>0.5</v>
      </c>
      <c r="C114" s="7">
        <f t="shared" si="44"/>
        <v>2.5</v>
      </c>
      <c r="D114" s="7">
        <f t="shared" si="44"/>
        <v>9.9</v>
      </c>
      <c r="E114" s="7">
        <f t="shared" si="44"/>
        <v>13.9</v>
      </c>
      <c r="F114" s="4">
        <f t="shared" si="44"/>
        <v>54.6</v>
      </c>
      <c r="G114" s="4">
        <f t="shared" si="44"/>
        <v>23.47</v>
      </c>
      <c r="H114" s="4">
        <f t="shared" si="44"/>
        <v>20.77</v>
      </c>
      <c r="I114" s="4">
        <f t="shared" si="44"/>
        <v>46</v>
      </c>
      <c r="J114" s="4">
        <f t="shared" si="44"/>
        <v>21.92</v>
      </c>
      <c r="K114" s="4">
        <f t="shared" si="44"/>
        <v>23.12</v>
      </c>
      <c r="L114" s="4">
        <f t="shared" si="44"/>
        <v>46.28</v>
      </c>
      <c r="M114" s="4">
        <f t="shared" si="44"/>
        <v>19.37</v>
      </c>
      <c r="N114" s="4">
        <f t="shared" si="44"/>
        <v>18.72</v>
      </c>
      <c r="O114" s="4">
        <f t="shared" si="44"/>
        <v>39.199999999999996</v>
      </c>
      <c r="P114" s="4">
        <f t="shared" si="44"/>
        <v>13.66</v>
      </c>
      <c r="Q114" s="4">
        <f t="shared" si="44"/>
        <v>16.34</v>
      </c>
      <c r="R114" s="4">
        <f t="shared" si="44"/>
        <v>25.43</v>
      </c>
      <c r="S114" s="4">
        <f t="shared" si="44"/>
        <v>23.73</v>
      </c>
      <c r="T114" s="4">
        <f t="shared" si="44"/>
        <v>25.3</v>
      </c>
      <c r="U114" s="4">
        <f t="shared" si="44"/>
        <v>27.5</v>
      </c>
      <c r="V114" s="4">
        <f t="shared" si="44"/>
        <v>23.4</v>
      </c>
      <c r="W114" s="4">
        <f t="shared" si="44"/>
        <v>23.9</v>
      </c>
      <c r="X114" s="4">
        <f t="shared" si="44"/>
        <v>26.1</v>
      </c>
      <c r="Y114" s="4">
        <f t="shared" si="44"/>
        <v>15.3</v>
      </c>
      <c r="Z114" s="4">
        <f t="shared" si="44"/>
        <v>14.8</v>
      </c>
      <c r="AA114" s="4">
        <f t="shared" si="44"/>
        <v>25.2</v>
      </c>
      <c r="AB114" s="4">
        <f t="shared" si="44"/>
        <v>15.1</v>
      </c>
      <c r="AC114" s="4">
        <f t="shared" si="44"/>
        <v>14.6</v>
      </c>
      <c r="AD114" s="4">
        <f t="shared" si="44"/>
        <v>21.7</v>
      </c>
      <c r="AE114" s="4">
        <f t="shared" si="44"/>
        <v>15.2</v>
      </c>
      <c r="AF114" s="4">
        <f t="shared" si="44"/>
        <v>15.4</v>
      </c>
      <c r="AG114" s="4">
        <f t="shared" si="44"/>
        <v>29.6</v>
      </c>
      <c r="AH114" s="4">
        <f t="shared" si="44"/>
        <v>21.5</v>
      </c>
      <c r="AI114" s="4">
        <f t="shared" si="44"/>
        <v>18.7</v>
      </c>
      <c r="AJ114" s="4">
        <f t="shared" si="44"/>
        <v>27.7</v>
      </c>
      <c r="AK114" s="4">
        <f t="shared" si="44"/>
        <v>19.5</v>
      </c>
      <c r="AL114" s="4">
        <f t="shared" si="44"/>
        <v>22.8</v>
      </c>
      <c r="AM114" s="4">
        <f t="shared" si="44"/>
        <v>29.5</v>
      </c>
      <c r="AN114" s="4">
        <f t="shared" si="44"/>
        <v>21.5</v>
      </c>
      <c r="AO114" s="4">
        <f t="shared" si="44"/>
        <v>21.6</v>
      </c>
      <c r="AP114" s="4">
        <f t="shared" si="44"/>
        <v>25.84</v>
      </c>
      <c r="AQ114" s="4">
        <f t="shared" si="44"/>
        <v>21.939999999999998</v>
      </c>
      <c r="AR114" s="4">
        <f t="shared" si="44"/>
        <v>25</v>
      </c>
      <c r="AS114" s="4">
        <f t="shared" si="44"/>
        <v>30.54</v>
      </c>
      <c r="AT114" s="4">
        <f t="shared" si="44"/>
        <v>22.34</v>
      </c>
      <c r="AU114" s="4">
        <f t="shared" si="44"/>
        <v>24.84</v>
      </c>
      <c r="AV114" s="4">
        <f t="shared" si="44"/>
        <v>31.1</v>
      </c>
      <c r="AW114" s="4">
        <f t="shared" si="44"/>
        <v>29</v>
      </c>
      <c r="AX114" s="4">
        <f t="shared" si="44"/>
        <v>31.5</v>
      </c>
      <c r="AY114" s="4">
        <f t="shared" si="44"/>
        <v>29</v>
      </c>
      <c r="AZ114" s="4">
        <f t="shared" si="44"/>
        <v>30.2</v>
      </c>
      <c r="BA114" s="4">
        <f t="shared" si="44"/>
        <v>30.6</v>
      </c>
      <c r="BB114" s="4">
        <f t="shared" si="44"/>
        <v>17.4</v>
      </c>
      <c r="BC114" s="4">
        <f t="shared" si="44"/>
        <v>18.2</v>
      </c>
      <c r="BD114" s="4">
        <f t="shared" si="44"/>
        <v>21.2</v>
      </c>
      <c r="BE114" s="4">
        <f>BE118+BE120</f>
        <v>20.1</v>
      </c>
      <c r="BF114" s="4">
        <f>BF118+BF120</f>
        <v>18.7</v>
      </c>
      <c r="BG114" s="136">
        <f>BG118+BG120</f>
        <v>19.4</v>
      </c>
    </row>
    <row r="115" spans="1:59" ht="12.75" customHeight="1">
      <c r="A115" s="21" t="s">
        <v>24</v>
      </c>
      <c r="B115" s="7">
        <f>7626.8-B114</f>
        <v>7626.3</v>
      </c>
      <c r="C115" s="7">
        <f>8401.2-C114</f>
        <v>8398.7</v>
      </c>
      <c r="D115" s="4">
        <f>9329.88-D114</f>
        <v>9319.98</v>
      </c>
      <c r="E115" s="4">
        <f>9318.9-E114</f>
        <v>9305</v>
      </c>
      <c r="F115" s="4">
        <f aca="true" t="shared" si="45" ref="F115:BD115">F117+F119-F114</f>
        <v>9763.8</v>
      </c>
      <c r="G115" s="4">
        <f t="shared" si="45"/>
        <v>9320.800000000001</v>
      </c>
      <c r="H115" s="4">
        <f t="shared" si="45"/>
        <v>9321.48</v>
      </c>
      <c r="I115" s="4">
        <f t="shared" si="45"/>
        <v>9295.6</v>
      </c>
      <c r="J115" s="4">
        <f t="shared" si="45"/>
        <v>9269.369999999999</v>
      </c>
      <c r="K115" s="4">
        <f t="shared" si="45"/>
        <v>11007.08</v>
      </c>
      <c r="L115" s="4">
        <f t="shared" si="45"/>
        <v>10591.999999999998</v>
      </c>
      <c r="M115" s="4">
        <f t="shared" si="45"/>
        <v>10440.029999999999</v>
      </c>
      <c r="N115" s="4">
        <f t="shared" si="45"/>
        <v>10475.16</v>
      </c>
      <c r="O115" s="4">
        <f t="shared" si="45"/>
        <v>10516.4</v>
      </c>
      <c r="P115" s="4">
        <f t="shared" si="45"/>
        <v>10480.51</v>
      </c>
      <c r="Q115" s="4">
        <f t="shared" si="45"/>
        <v>10436.05</v>
      </c>
      <c r="R115" s="4">
        <f t="shared" si="45"/>
        <v>10725.77</v>
      </c>
      <c r="S115" s="4">
        <f t="shared" si="45"/>
        <v>10617.570000000002</v>
      </c>
      <c r="T115" s="4">
        <f t="shared" si="45"/>
        <v>10667.1</v>
      </c>
      <c r="U115" s="4">
        <f t="shared" si="45"/>
        <v>10738.8</v>
      </c>
      <c r="V115" s="4">
        <f t="shared" si="45"/>
        <v>10604</v>
      </c>
      <c r="W115" s="4">
        <f t="shared" si="45"/>
        <v>10556.699999999999</v>
      </c>
      <c r="X115" s="4">
        <f t="shared" si="45"/>
        <v>10594.300000000001</v>
      </c>
      <c r="Y115" s="4">
        <f t="shared" si="45"/>
        <v>10474.1</v>
      </c>
      <c r="Z115" s="4">
        <f t="shared" si="45"/>
        <v>10430</v>
      </c>
      <c r="AA115" s="4">
        <f t="shared" si="45"/>
        <v>10530.3</v>
      </c>
      <c r="AB115" s="4">
        <f t="shared" si="45"/>
        <v>10392.8</v>
      </c>
      <c r="AC115" s="4">
        <f t="shared" si="45"/>
        <v>10395.5</v>
      </c>
      <c r="AD115" s="4">
        <f t="shared" si="45"/>
        <v>10838</v>
      </c>
      <c r="AE115" s="4">
        <f t="shared" si="45"/>
        <v>10464.699999999999</v>
      </c>
      <c r="AF115" s="4">
        <f t="shared" si="45"/>
        <v>10484.7</v>
      </c>
      <c r="AG115" s="4">
        <f t="shared" si="45"/>
        <v>10866.5</v>
      </c>
      <c r="AH115" s="4">
        <f t="shared" si="45"/>
        <v>10693</v>
      </c>
      <c r="AI115" s="4">
        <f t="shared" si="45"/>
        <v>10574.8</v>
      </c>
      <c r="AJ115" s="4">
        <f t="shared" si="45"/>
        <v>10641.5</v>
      </c>
      <c r="AK115" s="4">
        <f t="shared" si="45"/>
        <v>10537.5</v>
      </c>
      <c r="AL115" s="4">
        <f t="shared" si="45"/>
        <v>10538.3</v>
      </c>
      <c r="AM115" s="4">
        <f t="shared" si="45"/>
        <v>10612.65</v>
      </c>
      <c r="AN115" s="4">
        <f t="shared" si="45"/>
        <v>10528.1</v>
      </c>
      <c r="AO115" s="4">
        <f t="shared" si="45"/>
        <v>10572.099999999999</v>
      </c>
      <c r="AP115" s="4">
        <f t="shared" si="45"/>
        <v>10559.96</v>
      </c>
      <c r="AQ115" s="4">
        <f t="shared" si="45"/>
        <v>10463.859999999999</v>
      </c>
      <c r="AR115" s="4">
        <f t="shared" si="45"/>
        <v>10406.2</v>
      </c>
      <c r="AS115" s="4">
        <f t="shared" si="45"/>
        <v>10482.46</v>
      </c>
      <c r="AT115" s="4">
        <f t="shared" si="45"/>
        <v>10898.86</v>
      </c>
      <c r="AU115" s="4">
        <f t="shared" si="45"/>
        <v>10310.86</v>
      </c>
      <c r="AV115" s="4">
        <f t="shared" si="45"/>
        <v>10403</v>
      </c>
      <c r="AW115" s="4">
        <f t="shared" si="45"/>
        <v>10252.6</v>
      </c>
      <c r="AX115" s="4">
        <f t="shared" si="45"/>
        <v>10431.1</v>
      </c>
      <c r="AY115" s="4">
        <f t="shared" si="45"/>
        <v>10458.4</v>
      </c>
      <c r="AZ115" s="4">
        <f t="shared" si="45"/>
        <v>10384.599999999999</v>
      </c>
      <c r="BA115" s="4">
        <f t="shared" si="45"/>
        <v>10380.3</v>
      </c>
      <c r="BB115" s="4">
        <f>BB117+BB119-BB114</f>
        <v>10114.5</v>
      </c>
      <c r="BC115" s="4">
        <f t="shared" si="45"/>
        <v>10387.699999999999</v>
      </c>
      <c r="BD115" s="4">
        <f t="shared" si="45"/>
        <v>10422.8</v>
      </c>
      <c r="BE115" s="4">
        <f>BE117+BE119-BE114</f>
        <v>10354.9</v>
      </c>
      <c r="BF115" s="4">
        <f>BF117+BF119-BF114</f>
        <v>10298</v>
      </c>
      <c r="BG115" s="136">
        <f>BG117+BG119-BG114</f>
        <v>10342.1</v>
      </c>
    </row>
    <row r="116" spans="1:59" ht="12.75">
      <c r="A116" s="21" t="s">
        <v>25</v>
      </c>
      <c r="B116" s="7"/>
      <c r="C116" s="7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136"/>
    </row>
    <row r="117" spans="1:59" ht="12.75">
      <c r="A117" s="21" t="s">
        <v>27</v>
      </c>
      <c r="B117" s="7">
        <v>1009.38</v>
      </c>
      <c r="C117" s="7">
        <v>1283.85</v>
      </c>
      <c r="D117" s="4">
        <v>1365.6</v>
      </c>
      <c r="E117" s="4">
        <v>1297.12</v>
      </c>
      <c r="F117" s="4">
        <v>1133.5</v>
      </c>
      <c r="G117" s="4">
        <v>1124.82</v>
      </c>
      <c r="H117" s="4">
        <v>1127.92</v>
      </c>
      <c r="I117" s="4">
        <v>1113</v>
      </c>
      <c r="J117" s="4">
        <v>1104.59</v>
      </c>
      <c r="K117" s="4">
        <v>2847.65</v>
      </c>
      <c r="L117" s="4">
        <v>2366.47</v>
      </c>
      <c r="M117" s="4">
        <v>2364.47</v>
      </c>
      <c r="N117" s="4">
        <v>2376.48</v>
      </c>
      <c r="O117" s="4">
        <v>2364.3</v>
      </c>
      <c r="P117" s="4">
        <v>2364.74</v>
      </c>
      <c r="Q117" s="4">
        <v>2363.71</v>
      </c>
      <c r="R117" s="4">
        <v>2347.5</v>
      </c>
      <c r="S117" s="4">
        <v>2335.6</v>
      </c>
      <c r="T117" s="4">
        <v>2335.1</v>
      </c>
      <c r="U117" s="4">
        <v>2325.3</v>
      </c>
      <c r="V117" s="4">
        <v>2304.5</v>
      </c>
      <c r="W117" s="4">
        <v>2307.2</v>
      </c>
      <c r="X117" s="4">
        <v>2298.2</v>
      </c>
      <c r="Y117" s="4">
        <v>2298.5</v>
      </c>
      <c r="Z117" s="4">
        <v>2300.8</v>
      </c>
      <c r="AA117" s="4">
        <v>2306.7</v>
      </c>
      <c r="AB117" s="4">
        <v>2306.9</v>
      </c>
      <c r="AC117" s="4">
        <v>2304.4</v>
      </c>
      <c r="AD117" s="4">
        <v>2297.1</v>
      </c>
      <c r="AE117" s="4">
        <v>2295.4</v>
      </c>
      <c r="AF117" s="4">
        <v>2288.4</v>
      </c>
      <c r="AG117" s="4">
        <v>2285.6</v>
      </c>
      <c r="AH117" s="4">
        <v>2280.1</v>
      </c>
      <c r="AI117" s="4">
        <v>2276.4</v>
      </c>
      <c r="AJ117" s="4">
        <v>2271.5</v>
      </c>
      <c r="AK117" s="4">
        <v>2270.9</v>
      </c>
      <c r="AL117" s="4">
        <v>2266.7</v>
      </c>
      <c r="AM117" s="4">
        <v>2264.15</v>
      </c>
      <c r="AN117" s="4">
        <v>2260.9</v>
      </c>
      <c r="AO117" s="4">
        <v>2379.9</v>
      </c>
      <c r="AP117" s="4">
        <v>2446</v>
      </c>
      <c r="AQ117" s="4">
        <v>2462.9</v>
      </c>
      <c r="AR117" s="4">
        <v>2458.7</v>
      </c>
      <c r="AS117" s="4">
        <v>2454.1</v>
      </c>
      <c r="AT117" s="4">
        <v>2995.5</v>
      </c>
      <c r="AU117" s="4">
        <v>2454.5</v>
      </c>
      <c r="AV117" s="4">
        <v>2452</v>
      </c>
      <c r="AW117" s="4">
        <v>2448.6</v>
      </c>
      <c r="AX117" s="4">
        <v>2441.5</v>
      </c>
      <c r="AY117" s="4">
        <v>2436.2</v>
      </c>
      <c r="AZ117" s="4">
        <v>2434.6</v>
      </c>
      <c r="BA117" s="4">
        <v>2430.2</v>
      </c>
      <c r="BB117" s="4">
        <v>2418.4</v>
      </c>
      <c r="BC117" s="4">
        <v>2416.9</v>
      </c>
      <c r="BD117" s="4">
        <v>2408</v>
      </c>
      <c r="BE117" s="4">
        <v>2401.4</v>
      </c>
      <c r="BF117" s="4">
        <v>2433</v>
      </c>
      <c r="BG117" s="136">
        <v>2480.2</v>
      </c>
    </row>
    <row r="118" spans="1:59" ht="12.75">
      <c r="A118" s="60" t="s">
        <v>11</v>
      </c>
      <c r="B118" s="7">
        <v>0</v>
      </c>
      <c r="C118" s="7">
        <v>0</v>
      </c>
      <c r="D118" s="4">
        <v>0</v>
      </c>
      <c r="E118" s="4">
        <v>0</v>
      </c>
      <c r="F118" s="4">
        <v>2</v>
      </c>
      <c r="G118" s="4">
        <v>2</v>
      </c>
      <c r="H118" s="4">
        <v>2.3</v>
      </c>
      <c r="I118" s="4">
        <v>2.3</v>
      </c>
      <c r="J118" s="4">
        <v>2.3</v>
      </c>
      <c r="K118" s="4">
        <v>2.53</v>
      </c>
      <c r="L118" s="4">
        <v>2.53</v>
      </c>
      <c r="M118" s="4">
        <v>2.46</v>
      </c>
      <c r="N118" s="4">
        <v>2.43</v>
      </c>
      <c r="O118" s="4">
        <v>2.1</v>
      </c>
      <c r="P118" s="4">
        <v>2.07</v>
      </c>
      <c r="Q118" s="4">
        <v>2.03</v>
      </c>
      <c r="R118" s="4">
        <v>2.03</v>
      </c>
      <c r="S118" s="4">
        <v>2.03</v>
      </c>
      <c r="T118" s="4">
        <v>2</v>
      </c>
      <c r="U118" s="4">
        <v>2</v>
      </c>
      <c r="V118" s="4">
        <v>2</v>
      </c>
      <c r="W118" s="4">
        <v>2</v>
      </c>
      <c r="X118" s="4">
        <v>2</v>
      </c>
      <c r="Y118" s="4">
        <v>2</v>
      </c>
      <c r="Z118" s="4">
        <v>2</v>
      </c>
      <c r="AA118" s="4">
        <v>2</v>
      </c>
      <c r="AB118" s="4">
        <v>2</v>
      </c>
      <c r="AC118" s="4">
        <v>2</v>
      </c>
      <c r="AD118" s="4">
        <v>2</v>
      </c>
      <c r="AE118" s="4">
        <v>2</v>
      </c>
      <c r="AF118" s="4">
        <v>2</v>
      </c>
      <c r="AG118" s="4">
        <v>2</v>
      </c>
      <c r="AH118" s="4">
        <v>2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0.04</v>
      </c>
      <c r="AQ118" s="4">
        <v>0.04</v>
      </c>
      <c r="AR118" s="4">
        <v>0</v>
      </c>
      <c r="AS118" s="4">
        <v>0.04</v>
      </c>
      <c r="AT118" s="4">
        <v>0.04</v>
      </c>
      <c r="AU118" s="4">
        <v>0.04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136">
        <v>0</v>
      </c>
    </row>
    <row r="119" spans="1:59" ht="12.75">
      <c r="A119" s="21" t="s">
        <v>28</v>
      </c>
      <c r="B119" s="7">
        <f>6547.62+69.82</f>
        <v>6617.44</v>
      </c>
      <c r="C119" s="7">
        <f>7101.5+15.8</f>
        <v>7117.3</v>
      </c>
      <c r="D119" s="4">
        <v>7964.3</v>
      </c>
      <c r="E119" s="4">
        <v>8021.8</v>
      </c>
      <c r="F119" s="4">
        <v>8684.9</v>
      </c>
      <c r="G119" s="4">
        <v>8219.45</v>
      </c>
      <c r="H119" s="4">
        <v>8214.33</v>
      </c>
      <c r="I119" s="4">
        <f>8098.4+130.2</f>
        <v>8228.6</v>
      </c>
      <c r="J119" s="4">
        <v>8186.7</v>
      </c>
      <c r="K119" s="4">
        <v>8182.55</v>
      </c>
      <c r="L119" s="4">
        <f>8154.3+117.51</f>
        <v>8271.81</v>
      </c>
      <c r="M119" s="4">
        <v>8094.93</v>
      </c>
      <c r="N119" s="4">
        <v>8117.4</v>
      </c>
      <c r="O119" s="4">
        <v>8191.3</v>
      </c>
      <c r="P119" s="4">
        <v>8129.43</v>
      </c>
      <c r="Q119" s="4">
        <v>8088.68</v>
      </c>
      <c r="R119" s="4">
        <v>8403.7</v>
      </c>
      <c r="S119" s="4">
        <v>8305.7</v>
      </c>
      <c r="T119" s="4">
        <v>8357.3</v>
      </c>
      <c r="U119" s="4">
        <v>8441</v>
      </c>
      <c r="V119" s="4">
        <v>8322.9</v>
      </c>
      <c r="W119" s="4">
        <v>8273.4</v>
      </c>
      <c r="X119" s="4">
        <v>8322.2</v>
      </c>
      <c r="Y119" s="4">
        <v>8190.9</v>
      </c>
      <c r="Z119" s="4">
        <v>8144</v>
      </c>
      <c r="AA119" s="4">
        <v>8248.8</v>
      </c>
      <c r="AB119" s="4">
        <v>8101</v>
      </c>
      <c r="AC119" s="4">
        <v>8105.7</v>
      </c>
      <c r="AD119" s="4">
        <v>8562.6</v>
      </c>
      <c r="AE119" s="4">
        <v>8184.5</v>
      </c>
      <c r="AF119" s="4">
        <v>8211.7</v>
      </c>
      <c r="AG119" s="4">
        <v>8610.5</v>
      </c>
      <c r="AH119" s="4">
        <v>8434.4</v>
      </c>
      <c r="AI119" s="4">
        <v>8317.1</v>
      </c>
      <c r="AJ119" s="4">
        <v>8397.7</v>
      </c>
      <c r="AK119" s="4">
        <v>8286.1</v>
      </c>
      <c r="AL119" s="4">
        <v>8294.4</v>
      </c>
      <c r="AM119" s="4">
        <v>8378</v>
      </c>
      <c r="AN119" s="4">
        <v>8288.7</v>
      </c>
      <c r="AO119" s="4">
        <v>8213.8</v>
      </c>
      <c r="AP119" s="4">
        <v>8139.8</v>
      </c>
      <c r="AQ119" s="4">
        <v>8022.9</v>
      </c>
      <c r="AR119" s="4">
        <v>7972.5</v>
      </c>
      <c r="AS119" s="4">
        <v>8058.9</v>
      </c>
      <c r="AT119" s="4">
        <v>7925.7</v>
      </c>
      <c r="AU119" s="4">
        <v>7881.2</v>
      </c>
      <c r="AV119" s="4">
        <v>7982.1</v>
      </c>
      <c r="AW119" s="4">
        <v>7833</v>
      </c>
      <c r="AX119" s="4">
        <v>8021.1</v>
      </c>
      <c r="AY119" s="4">
        <v>8051.2</v>
      </c>
      <c r="AZ119" s="4">
        <v>7980.2</v>
      </c>
      <c r="BA119" s="4">
        <v>7980.7</v>
      </c>
      <c r="BB119" s="4">
        <v>7713.5</v>
      </c>
      <c r="BC119" s="4">
        <v>7989</v>
      </c>
      <c r="BD119" s="4">
        <v>8036</v>
      </c>
      <c r="BE119" s="4">
        <v>7973.6</v>
      </c>
      <c r="BF119" s="4">
        <v>7883.7</v>
      </c>
      <c r="BG119" s="136">
        <v>7881.3</v>
      </c>
    </row>
    <row r="120" spans="1:59" ht="12.75">
      <c r="A120" s="60" t="s">
        <v>11</v>
      </c>
      <c r="B120" s="7">
        <v>0.5</v>
      </c>
      <c r="C120" s="7">
        <v>2.5</v>
      </c>
      <c r="D120" s="4">
        <v>9.9</v>
      </c>
      <c r="E120" s="4">
        <v>13.9</v>
      </c>
      <c r="F120" s="4">
        <v>52.6</v>
      </c>
      <c r="G120" s="4">
        <v>21.47</v>
      </c>
      <c r="H120" s="4">
        <v>18.47</v>
      </c>
      <c r="I120" s="4">
        <f>16.6+27.1</f>
        <v>43.7</v>
      </c>
      <c r="J120" s="4">
        <v>19.62</v>
      </c>
      <c r="K120" s="4">
        <v>20.59</v>
      </c>
      <c r="L120" s="4">
        <f>20.6+23.15</f>
        <v>43.75</v>
      </c>
      <c r="M120" s="4">
        <v>16.91</v>
      </c>
      <c r="N120" s="4">
        <v>16.29</v>
      </c>
      <c r="O120" s="4">
        <f>17.9+19.2</f>
        <v>37.099999999999994</v>
      </c>
      <c r="P120" s="4">
        <v>11.59</v>
      </c>
      <c r="Q120" s="4">
        <v>14.31</v>
      </c>
      <c r="R120" s="4">
        <v>23.4</v>
      </c>
      <c r="S120" s="4">
        <v>21.7</v>
      </c>
      <c r="T120" s="4">
        <v>23.3</v>
      </c>
      <c r="U120" s="4">
        <v>25.5</v>
      </c>
      <c r="V120" s="4">
        <v>21.4</v>
      </c>
      <c r="W120" s="4">
        <v>21.9</v>
      </c>
      <c r="X120" s="4">
        <v>24.1</v>
      </c>
      <c r="Y120" s="4">
        <v>13.3</v>
      </c>
      <c r="Z120" s="4">
        <v>12.8</v>
      </c>
      <c r="AA120" s="4">
        <v>23.2</v>
      </c>
      <c r="AB120" s="4">
        <v>13.1</v>
      </c>
      <c r="AC120" s="4">
        <v>12.6</v>
      </c>
      <c r="AD120" s="4">
        <v>19.7</v>
      </c>
      <c r="AE120" s="4">
        <v>13.2</v>
      </c>
      <c r="AF120" s="4">
        <v>13.4</v>
      </c>
      <c r="AG120" s="4">
        <v>27.6</v>
      </c>
      <c r="AH120" s="4">
        <v>19.5</v>
      </c>
      <c r="AI120" s="4">
        <v>18.7</v>
      </c>
      <c r="AJ120" s="4">
        <v>27.7</v>
      </c>
      <c r="AK120" s="4">
        <v>19.5</v>
      </c>
      <c r="AL120" s="4">
        <v>22.8</v>
      </c>
      <c r="AM120" s="4">
        <v>29.5</v>
      </c>
      <c r="AN120" s="4">
        <v>21.5</v>
      </c>
      <c r="AO120" s="4">
        <v>21.6</v>
      </c>
      <c r="AP120" s="4">
        <v>25.8</v>
      </c>
      <c r="AQ120" s="4">
        <v>21.9</v>
      </c>
      <c r="AR120" s="4">
        <v>25</v>
      </c>
      <c r="AS120" s="4">
        <v>30.5</v>
      </c>
      <c r="AT120" s="4">
        <v>22.3</v>
      </c>
      <c r="AU120" s="4">
        <v>24.8</v>
      </c>
      <c r="AV120" s="4">
        <v>31.1</v>
      </c>
      <c r="AW120" s="4">
        <v>29</v>
      </c>
      <c r="AX120" s="4">
        <v>31.5</v>
      </c>
      <c r="AY120" s="4">
        <v>29</v>
      </c>
      <c r="AZ120" s="4">
        <v>30.2</v>
      </c>
      <c r="BA120" s="4">
        <v>30.6</v>
      </c>
      <c r="BB120" s="4">
        <v>17.4</v>
      </c>
      <c r="BC120" s="4">
        <v>18.2</v>
      </c>
      <c r="BD120" s="4">
        <v>21.2</v>
      </c>
      <c r="BE120" s="4">
        <v>20.1</v>
      </c>
      <c r="BF120" s="4">
        <v>18.7</v>
      </c>
      <c r="BG120" s="136">
        <v>19.4</v>
      </c>
    </row>
    <row r="121" spans="1:59" ht="12.75">
      <c r="A121" s="21" t="s">
        <v>29</v>
      </c>
      <c r="B121" s="7"/>
      <c r="C121" s="7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136"/>
    </row>
    <row r="122" spans="1:59" ht="12.75">
      <c r="A122" s="21" t="s">
        <v>30</v>
      </c>
      <c r="B122" s="7">
        <f>6558.8+69</f>
        <v>6627.8</v>
      </c>
      <c r="C122" s="7">
        <f>7193.1+15.8</f>
        <v>7208.900000000001</v>
      </c>
      <c r="D122" s="4">
        <f>D112-D123-D124</f>
        <v>7638.139999999999</v>
      </c>
      <c r="E122" s="4">
        <f>E112-E123-E124</f>
        <v>7518.679999999999</v>
      </c>
      <c r="F122" s="4">
        <v>7830.51</v>
      </c>
      <c r="G122" s="4">
        <v>7353.7</v>
      </c>
      <c r="H122" s="4">
        <v>7410.2</v>
      </c>
      <c r="I122" s="4">
        <f>I112-I123-I124-I125</f>
        <v>7449.9</v>
      </c>
      <c r="J122" s="4">
        <f aca="true" t="shared" si="46" ref="J122:O122">J112-J123-J124-J125</f>
        <v>7397.789999999999</v>
      </c>
      <c r="K122" s="4">
        <f t="shared" si="46"/>
        <v>9134.550000000001</v>
      </c>
      <c r="L122" s="4">
        <f t="shared" si="46"/>
        <v>9317.68</v>
      </c>
      <c r="M122" s="4">
        <f t="shared" si="46"/>
        <v>9165</v>
      </c>
      <c r="N122" s="4">
        <f t="shared" si="46"/>
        <v>9199.88</v>
      </c>
      <c r="O122" s="4">
        <f t="shared" si="46"/>
        <v>9279.6</v>
      </c>
      <c r="P122" s="4">
        <v>9219.3</v>
      </c>
      <c r="Q122" s="4">
        <v>9201.4</v>
      </c>
      <c r="R122" s="4">
        <v>9414.71</v>
      </c>
      <c r="S122" s="4">
        <v>9316.43</v>
      </c>
      <c r="T122" s="4">
        <v>9438.68</v>
      </c>
      <c r="U122" s="4">
        <v>9553.19</v>
      </c>
      <c r="V122" s="4">
        <v>9421.54</v>
      </c>
      <c r="W122" s="4">
        <v>9398.86</v>
      </c>
      <c r="X122" s="4">
        <v>9436.27</v>
      </c>
      <c r="Y122" s="4">
        <v>9336.76</v>
      </c>
      <c r="Z122" s="4">
        <v>9352.26</v>
      </c>
      <c r="AA122" s="4">
        <v>9470.69</v>
      </c>
      <c r="AB122" s="4">
        <v>9353.15</v>
      </c>
      <c r="AC122" s="4">
        <v>9355.05</v>
      </c>
      <c r="AD122" s="4">
        <v>9821.18</v>
      </c>
      <c r="AE122" s="4">
        <v>9443.4</v>
      </c>
      <c r="AF122" s="4">
        <v>9473.26</v>
      </c>
      <c r="AG122" s="4">
        <v>9908.87</v>
      </c>
      <c r="AH122" s="4">
        <v>9814.4</v>
      </c>
      <c r="AI122" s="4">
        <v>9701.93</v>
      </c>
      <c r="AJ122" s="4">
        <v>9782.87</v>
      </c>
      <c r="AK122" s="4">
        <v>9694.59</v>
      </c>
      <c r="AL122" s="4">
        <v>9693.77</v>
      </c>
      <c r="AM122" s="4">
        <v>9794.22</v>
      </c>
      <c r="AN122" s="4">
        <v>9707.97</v>
      </c>
      <c r="AO122" s="4">
        <v>9755.26</v>
      </c>
      <c r="AP122" s="4">
        <v>9822.7</v>
      </c>
      <c r="AQ122" s="4">
        <v>9723.01</v>
      </c>
      <c r="AR122" s="4">
        <v>9674.52</v>
      </c>
      <c r="AS122" s="4">
        <v>9757.36</v>
      </c>
      <c r="AT122" s="4">
        <v>10177.57</v>
      </c>
      <c r="AU122" s="4">
        <v>9595.97</v>
      </c>
      <c r="AV122" s="4">
        <v>9697.46</v>
      </c>
      <c r="AW122" s="4">
        <v>9551.55</v>
      </c>
      <c r="AX122" s="4">
        <v>9737.04</v>
      </c>
      <c r="AY122" s="4">
        <v>9761.2</v>
      </c>
      <c r="AZ122" s="4">
        <v>9692.44</v>
      </c>
      <c r="BA122" s="4">
        <v>9691.26</v>
      </c>
      <c r="BB122" s="4">
        <v>9418.64</v>
      </c>
      <c r="BC122" s="4">
        <v>9681.86</v>
      </c>
      <c r="BD122" s="4">
        <v>9704.51</v>
      </c>
      <c r="BE122" s="4">
        <v>9636.93</v>
      </c>
      <c r="BF122" s="4">
        <v>9659.99</v>
      </c>
      <c r="BG122" s="136">
        <v>9686.9</v>
      </c>
    </row>
    <row r="123" spans="1:59" ht="12.75">
      <c r="A123" s="21" t="s">
        <v>31</v>
      </c>
      <c r="B123" s="7">
        <v>991.7</v>
      </c>
      <c r="C123" s="7">
        <v>1189.4</v>
      </c>
      <c r="D123" s="4">
        <v>1690.88</v>
      </c>
      <c r="E123" s="4">
        <v>1746.12</v>
      </c>
      <c r="F123" s="4">
        <v>1940.13</v>
      </c>
      <c r="G123" s="4">
        <v>1940.3</v>
      </c>
      <c r="H123" s="4">
        <v>1880.9</v>
      </c>
      <c r="I123" s="4">
        <v>1843.1</v>
      </c>
      <c r="J123" s="4">
        <v>1849.7</v>
      </c>
      <c r="K123" s="4">
        <v>1850.85</v>
      </c>
      <c r="L123" s="4">
        <v>1279.3</v>
      </c>
      <c r="M123" s="4">
        <v>1251.8</v>
      </c>
      <c r="N123" s="4">
        <v>1256.4</v>
      </c>
      <c r="O123" s="4">
        <v>1238.6</v>
      </c>
      <c r="P123" s="4">
        <v>1236.6</v>
      </c>
      <c r="Q123" s="4">
        <v>1228.3</v>
      </c>
      <c r="R123" s="4">
        <v>1302.04</v>
      </c>
      <c r="S123" s="4">
        <v>1290.35</v>
      </c>
      <c r="T123" s="4">
        <v>1221.41</v>
      </c>
      <c r="U123" s="4">
        <v>1184.75</v>
      </c>
      <c r="V123" s="4">
        <v>1177.54</v>
      </c>
      <c r="W123" s="4">
        <v>1155.82</v>
      </c>
      <c r="X123" s="4">
        <v>1158.1</v>
      </c>
      <c r="Y123" s="4">
        <v>1126.89</v>
      </c>
      <c r="Z123" s="4">
        <v>1066.98</v>
      </c>
      <c r="AA123" s="4">
        <v>1062.4</v>
      </c>
      <c r="AB123" s="4">
        <v>1033.19</v>
      </c>
      <c r="AC123" s="4">
        <v>1035.51</v>
      </c>
      <c r="AD123" s="4">
        <v>1022.26</v>
      </c>
      <c r="AE123" s="4">
        <v>1020.5</v>
      </c>
      <c r="AF123" s="4">
        <v>1012.35</v>
      </c>
      <c r="AG123" s="4">
        <v>974.48</v>
      </c>
      <c r="AH123" s="4">
        <v>890.55</v>
      </c>
      <c r="AI123" s="4">
        <v>883.44</v>
      </c>
      <c r="AJ123" s="4">
        <v>878.42</v>
      </c>
      <c r="AK123" s="4">
        <v>854.45</v>
      </c>
      <c r="AL123" s="4">
        <v>859.41</v>
      </c>
      <c r="AM123" s="4">
        <v>844.48</v>
      </c>
      <c r="AN123" s="4">
        <v>838.42</v>
      </c>
      <c r="AO123" s="4">
        <v>835.34</v>
      </c>
      <c r="AP123" s="4">
        <v>759.87</v>
      </c>
      <c r="AQ123" s="4">
        <v>759.7</v>
      </c>
      <c r="AR123" s="4">
        <v>753.52</v>
      </c>
      <c r="AS123" s="4">
        <v>752.47</v>
      </c>
      <c r="AT123" s="4">
        <v>740.66</v>
      </c>
      <c r="AU123" s="4">
        <v>736.49</v>
      </c>
      <c r="AV123" s="4">
        <v>733.49</v>
      </c>
      <c r="AW123" s="4">
        <v>726.99</v>
      </c>
      <c r="AX123" s="4">
        <v>722.52</v>
      </c>
      <c r="AY123" s="4">
        <v>723.27</v>
      </c>
      <c r="AZ123" s="4">
        <v>718.34</v>
      </c>
      <c r="BA123" s="4">
        <v>715.77</v>
      </c>
      <c r="BB123" s="4">
        <v>709.13</v>
      </c>
      <c r="BC123" s="4">
        <v>720.16</v>
      </c>
      <c r="BD123" s="4">
        <v>735.59</v>
      </c>
      <c r="BE123" s="4">
        <v>734.23</v>
      </c>
      <c r="BF123" s="4">
        <v>652.96</v>
      </c>
      <c r="BG123" s="136">
        <v>671.09</v>
      </c>
    </row>
    <row r="124" spans="1:59" ht="12.75">
      <c r="A124" s="21" t="s">
        <v>32</v>
      </c>
      <c r="B124" s="7">
        <v>7.3</v>
      </c>
      <c r="C124" s="7">
        <v>2.9</v>
      </c>
      <c r="D124" s="4">
        <v>0.86</v>
      </c>
      <c r="E124" s="4">
        <v>54.1</v>
      </c>
      <c r="F124" s="4">
        <v>47.74</v>
      </c>
      <c r="G124" s="4">
        <v>50.3</v>
      </c>
      <c r="H124" s="4">
        <v>51.1</v>
      </c>
      <c r="I124" s="4">
        <v>48.6</v>
      </c>
      <c r="J124" s="4">
        <v>43.8</v>
      </c>
      <c r="K124" s="4">
        <v>44.8</v>
      </c>
      <c r="L124" s="4">
        <v>41.3</v>
      </c>
      <c r="M124" s="4">
        <v>42.6</v>
      </c>
      <c r="N124" s="4">
        <v>37.6</v>
      </c>
      <c r="O124" s="4">
        <v>37.4</v>
      </c>
      <c r="P124" s="4">
        <v>38.3</v>
      </c>
      <c r="Q124" s="4">
        <v>39.9</v>
      </c>
      <c r="R124" s="4">
        <v>34.43</v>
      </c>
      <c r="S124" s="4">
        <v>34.47</v>
      </c>
      <c r="T124" s="4">
        <v>32.37</v>
      </c>
      <c r="U124" s="4">
        <v>28.33</v>
      </c>
      <c r="V124" s="4">
        <v>28.33</v>
      </c>
      <c r="W124" s="4">
        <v>25.91</v>
      </c>
      <c r="X124" s="4">
        <v>26</v>
      </c>
      <c r="Y124" s="4">
        <v>25.73</v>
      </c>
      <c r="Z124" s="4">
        <v>25.56</v>
      </c>
      <c r="AA124" s="4">
        <v>22.46</v>
      </c>
      <c r="AB124" s="4">
        <v>21.55</v>
      </c>
      <c r="AC124" s="4">
        <v>19.56</v>
      </c>
      <c r="AD124" s="4">
        <v>16.35</v>
      </c>
      <c r="AE124" s="4">
        <v>15.99</v>
      </c>
      <c r="AF124" s="4">
        <v>14.49</v>
      </c>
      <c r="AG124" s="4">
        <v>12.78</v>
      </c>
      <c r="AH124" s="4">
        <v>9.53</v>
      </c>
      <c r="AI124" s="4">
        <v>8.13</v>
      </c>
      <c r="AJ124" s="4">
        <v>7.94</v>
      </c>
      <c r="AK124" s="4">
        <v>7.97</v>
      </c>
      <c r="AL124" s="4">
        <v>7.92</v>
      </c>
      <c r="AM124" s="4">
        <v>3.51</v>
      </c>
      <c r="AN124" s="4">
        <v>3.16</v>
      </c>
      <c r="AO124" s="4">
        <v>3.14</v>
      </c>
      <c r="AP124" s="4">
        <v>3.23</v>
      </c>
      <c r="AQ124" s="4">
        <v>3.11</v>
      </c>
      <c r="AR124" s="4">
        <v>3.17</v>
      </c>
      <c r="AS124" s="4">
        <v>3.14</v>
      </c>
      <c r="AT124" s="4">
        <v>2.96</v>
      </c>
      <c r="AU124" s="4">
        <v>3.22</v>
      </c>
      <c r="AV124" s="4">
        <v>3.12</v>
      </c>
      <c r="AW124" s="4">
        <v>3.08</v>
      </c>
      <c r="AX124" s="4">
        <v>3.02</v>
      </c>
      <c r="AY124" s="4">
        <v>2.98</v>
      </c>
      <c r="AZ124" s="4">
        <v>4.03</v>
      </c>
      <c r="BA124" s="4">
        <v>3.9</v>
      </c>
      <c r="BB124" s="4">
        <v>3.79</v>
      </c>
      <c r="BC124" s="4">
        <v>3.84</v>
      </c>
      <c r="BD124" s="4">
        <v>3.87</v>
      </c>
      <c r="BE124" s="4">
        <v>3.86</v>
      </c>
      <c r="BF124" s="4">
        <v>3.78</v>
      </c>
      <c r="BG124" s="136">
        <v>3.54</v>
      </c>
    </row>
    <row r="125" spans="1:59" ht="12.75">
      <c r="A125" s="21" t="s">
        <v>33</v>
      </c>
      <c r="B125" s="7">
        <v>0</v>
      </c>
      <c r="C125" s="7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136">
        <v>0</v>
      </c>
    </row>
    <row r="126" spans="1:61" s="86" customFormat="1" ht="12.75">
      <c r="A126" s="155" t="s">
        <v>39</v>
      </c>
      <c r="B126" s="159">
        <v>7408.32</v>
      </c>
      <c r="C126" s="159">
        <v>8094.19</v>
      </c>
      <c r="D126" s="159">
        <v>8851.13</v>
      </c>
      <c r="E126" s="159">
        <v>8840.51</v>
      </c>
      <c r="F126" s="159">
        <v>9110.8</v>
      </c>
      <c r="G126" s="159">
        <v>9058.6</v>
      </c>
      <c r="H126" s="159">
        <v>9063.95</v>
      </c>
      <c r="I126" s="159">
        <v>8975.49</v>
      </c>
      <c r="J126" s="159">
        <v>9011.39</v>
      </c>
      <c r="K126" s="159">
        <v>11219.01</v>
      </c>
      <c r="L126" s="159">
        <v>11149.66</v>
      </c>
      <c r="M126" s="159">
        <v>11128.56</v>
      </c>
      <c r="N126" s="159">
        <v>11151.02</v>
      </c>
      <c r="O126" s="159">
        <v>11151.02</v>
      </c>
      <c r="P126" s="159">
        <v>11151.02</v>
      </c>
      <c r="Q126" s="159">
        <v>11151.02</v>
      </c>
      <c r="R126" s="159">
        <v>11151.02</v>
      </c>
      <c r="S126" s="159">
        <v>11151.02</v>
      </c>
      <c r="T126" s="160"/>
      <c r="U126" s="160"/>
      <c r="V126" s="160"/>
      <c r="W126" s="160"/>
      <c r="X126" s="160"/>
      <c r="Y126" s="160"/>
      <c r="Z126" s="160"/>
      <c r="BH126" s="85"/>
      <c r="BI126" s="85"/>
    </row>
    <row r="127" spans="1:59" ht="12.75">
      <c r="A127" s="68"/>
      <c r="B127" s="26"/>
      <c r="C127" s="26"/>
      <c r="D127" s="81"/>
      <c r="E127" s="68"/>
      <c r="F127" s="68"/>
      <c r="G127" s="68"/>
      <c r="H127" s="68"/>
      <c r="BG127" s="130"/>
    </row>
    <row r="128" spans="1:59" ht="12.75">
      <c r="A128" s="68"/>
      <c r="B128" s="26"/>
      <c r="C128" s="68"/>
      <c r="D128" s="81"/>
      <c r="E128" s="68"/>
      <c r="F128" s="68"/>
      <c r="G128" s="68"/>
      <c r="H128" s="68"/>
      <c r="AG128" s="27"/>
      <c r="AH128" s="27"/>
      <c r="AI128" s="27"/>
      <c r="AJ128" s="27"/>
      <c r="AK128" s="27"/>
      <c r="AL128" s="27"/>
      <c r="AM128" s="82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131"/>
    </row>
    <row r="129" spans="1:61" s="86" customFormat="1" ht="12.75">
      <c r="A129" s="83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30"/>
      <c r="BH129" s="85"/>
      <c r="BI129" s="85"/>
    </row>
    <row r="130" spans="1:59" ht="12.75">
      <c r="A130" s="87"/>
      <c r="B130" s="88"/>
      <c r="C130" s="89"/>
      <c r="D130" s="90"/>
      <c r="E130" s="90"/>
      <c r="F130" s="91"/>
      <c r="G130" s="92"/>
      <c r="H130" s="92"/>
      <c r="I130" s="32"/>
      <c r="J130" s="32"/>
      <c r="K130" s="32"/>
      <c r="L130" s="32"/>
      <c r="M130" s="32"/>
      <c r="N130" s="32"/>
      <c r="O130" s="32"/>
      <c r="P130" s="32"/>
      <c r="Q130" s="32"/>
      <c r="R130" s="31"/>
      <c r="S130" s="32"/>
      <c r="T130" s="27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71"/>
      <c r="AN130" s="32"/>
      <c r="AO130" s="32"/>
      <c r="AP130" s="32"/>
      <c r="AQ130" s="32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 t="s">
        <v>0</v>
      </c>
    </row>
    <row r="131" spans="1:59" ht="12.75" customHeight="1">
      <c r="A131" s="195" t="s">
        <v>41</v>
      </c>
      <c r="B131" s="195">
        <f>B9</f>
        <v>2010</v>
      </c>
      <c r="C131" s="195">
        <f aca="true" t="shared" si="47" ref="C131:BB131">C9</f>
        <v>2011</v>
      </c>
      <c r="D131" s="195">
        <f t="shared" si="47"/>
        <v>2012</v>
      </c>
      <c r="E131" s="195">
        <f t="shared" si="47"/>
        <v>2013</v>
      </c>
      <c r="F131" s="195">
        <f t="shared" si="47"/>
        <v>2014</v>
      </c>
      <c r="G131" s="195" t="str">
        <f t="shared" si="47"/>
        <v>
Ianuarie 2015*)</v>
      </c>
      <c r="H131" s="195" t="str">
        <f t="shared" si="47"/>
        <v>
Februarie 2015*)</v>
      </c>
      <c r="I131" s="195" t="str">
        <f t="shared" si="47"/>
        <v>
Martie 2015*)</v>
      </c>
      <c r="J131" s="195" t="str">
        <f t="shared" si="47"/>
        <v>
Aprilie 2015*)</v>
      </c>
      <c r="K131" s="195" t="str">
        <f t="shared" si="47"/>
        <v>
Mai 2015*)</v>
      </c>
      <c r="L131" s="195" t="str">
        <f t="shared" si="47"/>
        <v>Iunie 2015*)</v>
      </c>
      <c r="M131" s="195" t="str">
        <f t="shared" si="47"/>
        <v>Iulie 2015*)</v>
      </c>
      <c r="N131" s="195" t="str">
        <f t="shared" si="47"/>
        <v>August 2015*)</v>
      </c>
      <c r="O131" s="195" t="str">
        <f t="shared" si="47"/>
        <v>Septembrie 2015*)</v>
      </c>
      <c r="P131" s="195" t="str">
        <f t="shared" si="47"/>
        <v>Octombrie 2015*)</v>
      </c>
      <c r="Q131" s="195" t="str">
        <f t="shared" si="47"/>
        <v>Noiembrie 2015*)</v>
      </c>
      <c r="R131" s="195">
        <f t="shared" si="47"/>
        <v>2015</v>
      </c>
      <c r="S131" s="195" t="str">
        <f t="shared" si="47"/>
        <v>Ianuarie 2016*)</v>
      </c>
      <c r="T131" s="195" t="str">
        <f t="shared" si="47"/>
        <v>Februarie 2016*)</v>
      </c>
      <c r="U131" s="195" t="str">
        <f t="shared" si="47"/>
        <v>Martie 2016*)</v>
      </c>
      <c r="V131" s="195" t="str">
        <f t="shared" si="47"/>
        <v>Aprilie 2016*)</v>
      </c>
      <c r="W131" s="195" t="str">
        <f t="shared" si="47"/>
        <v>Mai 2016*)</v>
      </c>
      <c r="X131" s="195" t="str">
        <f t="shared" si="47"/>
        <v>Iunie 2016*)</v>
      </c>
      <c r="Y131" s="195" t="str">
        <f t="shared" si="47"/>
        <v>Iulie 2016*)</v>
      </c>
      <c r="Z131" s="195" t="str">
        <f t="shared" si="47"/>
        <v>August 2016*)</v>
      </c>
      <c r="AA131" s="195" t="str">
        <f t="shared" si="47"/>
        <v>Septembrie 2016*)</v>
      </c>
      <c r="AB131" s="195" t="str">
        <f t="shared" si="47"/>
        <v>Octombrie 2016*)</v>
      </c>
      <c r="AC131" s="195" t="str">
        <f t="shared" si="47"/>
        <v>Noiembrie 2016*)</v>
      </c>
      <c r="AD131" s="195">
        <f t="shared" si="47"/>
        <v>2016</v>
      </c>
      <c r="AE131" s="195" t="str">
        <f t="shared" si="47"/>
        <v>Ianuarie 2017**)</v>
      </c>
      <c r="AF131" s="195" t="str">
        <f t="shared" si="47"/>
        <v>Februarie 2017**)</v>
      </c>
      <c r="AG131" s="195" t="str">
        <f t="shared" si="47"/>
        <v>Martie 2017*)</v>
      </c>
      <c r="AH131" s="195" t="str">
        <f t="shared" si="47"/>
        <v>Aprilie 2017*)</v>
      </c>
      <c r="AI131" s="195" t="str">
        <f t="shared" si="47"/>
        <v>Mai 2017*)</v>
      </c>
      <c r="AJ131" s="195" t="str">
        <f t="shared" si="47"/>
        <v>Iunie 2017*)</v>
      </c>
      <c r="AK131" s="195" t="str">
        <f t="shared" si="47"/>
        <v>Iulie 2017*)</v>
      </c>
      <c r="AL131" s="195" t="str">
        <f t="shared" si="47"/>
        <v>August 2017*)</v>
      </c>
      <c r="AM131" s="195" t="str">
        <f t="shared" si="47"/>
        <v>Septembrie 2017*)</v>
      </c>
      <c r="AN131" s="195" t="str">
        <f t="shared" si="47"/>
        <v>Octombrie 2017*)</v>
      </c>
      <c r="AO131" s="195" t="str">
        <f t="shared" si="47"/>
        <v>Noiembrie2017*)</v>
      </c>
      <c r="AP131" s="195">
        <f t="shared" si="47"/>
        <v>2017</v>
      </c>
      <c r="AQ131" s="195" t="str">
        <f t="shared" si="47"/>
        <v>Ianuarie 2018*)</v>
      </c>
      <c r="AR131" s="195" t="str">
        <f t="shared" si="47"/>
        <v>Februarie 2018*)</v>
      </c>
      <c r="AS131" s="195" t="str">
        <f t="shared" si="47"/>
        <v>Martie 2018*) </v>
      </c>
      <c r="AT131" s="195" t="str">
        <f t="shared" si="47"/>
        <v>Aprilie 2018*)</v>
      </c>
      <c r="AU131" s="195" t="str">
        <f t="shared" si="47"/>
        <v>Mai 2018*)</v>
      </c>
      <c r="AV131" s="195" t="str">
        <f t="shared" si="47"/>
        <v>June 2018*)</v>
      </c>
      <c r="AW131" s="195" t="str">
        <f t="shared" si="47"/>
        <v>Iulie 2018*)</v>
      </c>
      <c r="AX131" s="195" t="str">
        <f t="shared" si="47"/>
        <v>August 2018*) </v>
      </c>
      <c r="AY131" s="195" t="str">
        <f t="shared" si="47"/>
        <v>Septembrie 2018*) </v>
      </c>
      <c r="AZ131" s="195" t="str">
        <f t="shared" si="47"/>
        <v>Octombrie 2018*) </v>
      </c>
      <c r="BA131" s="195" t="str">
        <f t="shared" si="47"/>
        <v>Noiembrie 2018*) </v>
      </c>
      <c r="BB131" s="195" t="str">
        <f t="shared" si="47"/>
        <v>Decembrie 2018*) </v>
      </c>
      <c r="BC131" s="195" t="str">
        <f>BC9</f>
        <v>Ianuarie 2019*) </v>
      </c>
      <c r="BD131" s="195" t="str">
        <f>BD9</f>
        <v> Februarie 2019**) </v>
      </c>
      <c r="BE131" s="195" t="str">
        <f>BE9</f>
        <v>Martie 2019**) </v>
      </c>
      <c r="BF131" s="195" t="str">
        <f>BF9</f>
        <v>Aprilie 2019**) </v>
      </c>
      <c r="BG131" s="195" t="str">
        <f>BG9</f>
        <v>Mai 2019**) </v>
      </c>
    </row>
    <row r="132" spans="1:61" ht="27.75" customHeight="1">
      <c r="A132" s="195"/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I132" s="53"/>
    </row>
    <row r="133" spans="1:61" ht="24" customHeight="1">
      <c r="A133" s="195"/>
      <c r="B133" s="12">
        <f aca="true" t="shared" si="48" ref="B133:BC133">B140+B142</f>
        <v>75479.718752</v>
      </c>
      <c r="C133" s="12">
        <f t="shared" si="48"/>
        <v>92871.7843238</v>
      </c>
      <c r="D133" s="13">
        <f t="shared" si="48"/>
        <v>111258.9441415</v>
      </c>
      <c r="E133" s="12">
        <f t="shared" si="48"/>
        <v>130144.3102059</v>
      </c>
      <c r="F133" s="12">
        <f t="shared" si="48"/>
        <v>136655.544812</v>
      </c>
      <c r="G133" s="12">
        <f t="shared" si="48"/>
        <v>130134.29566700003</v>
      </c>
      <c r="H133" s="12">
        <f t="shared" si="48"/>
        <v>130049.72672300001</v>
      </c>
      <c r="I133" s="12">
        <f t="shared" si="48"/>
        <v>126129.9</v>
      </c>
      <c r="J133" s="12">
        <f t="shared" si="48"/>
        <v>127362.763754</v>
      </c>
      <c r="K133" s="12">
        <f t="shared" si="48"/>
        <v>125948.1554505</v>
      </c>
      <c r="L133" s="12">
        <f t="shared" si="48"/>
        <v>125620.79999999999</v>
      </c>
      <c r="M133" s="12">
        <f t="shared" si="48"/>
        <v>126045.076936</v>
      </c>
      <c r="N133" s="12">
        <f t="shared" si="48"/>
        <v>126924.81494200003</v>
      </c>
      <c r="O133" s="12">
        <f t="shared" si="48"/>
        <v>124194.5</v>
      </c>
      <c r="P133" s="12">
        <f t="shared" si="48"/>
        <v>133454.371478</v>
      </c>
      <c r="Q133" s="12">
        <f t="shared" si="48"/>
        <v>135128.60311499998</v>
      </c>
      <c r="R133" s="12">
        <f>R140+R142</f>
        <v>133069.55</v>
      </c>
      <c r="S133" s="12">
        <f t="shared" si="48"/>
        <v>134198.562751</v>
      </c>
      <c r="T133" s="12">
        <f t="shared" si="48"/>
        <v>135087.82687999998</v>
      </c>
      <c r="U133" s="12">
        <f t="shared" si="48"/>
        <v>132102.32494599998</v>
      </c>
      <c r="V133" s="12">
        <f t="shared" si="48"/>
        <v>133300.346868</v>
      </c>
      <c r="W133" s="12">
        <f t="shared" si="48"/>
        <v>136640.16142</v>
      </c>
      <c r="X133" s="12">
        <f t="shared" si="48"/>
        <v>131198.14348</v>
      </c>
      <c r="Y133" s="12">
        <f t="shared" si="48"/>
        <v>131044.53091</v>
      </c>
      <c r="Z133" s="12">
        <f t="shared" si="48"/>
        <v>133349.90352</v>
      </c>
      <c r="AA133" s="12">
        <f t="shared" si="48"/>
        <v>131496.981834</v>
      </c>
      <c r="AB133" s="12">
        <f t="shared" si="48"/>
        <v>137087.589609</v>
      </c>
      <c r="AC133" s="12">
        <f t="shared" si="48"/>
        <v>136575.30744</v>
      </c>
      <c r="AD133" s="12">
        <f>AD140+AD142</f>
        <v>137268.09999999998</v>
      </c>
      <c r="AE133" s="12">
        <f t="shared" si="48"/>
        <v>135767.32122800002</v>
      </c>
      <c r="AF133" s="12">
        <f t="shared" si="48"/>
        <v>136040.52592000001</v>
      </c>
      <c r="AG133" s="12">
        <f t="shared" si="48"/>
        <v>138311.1</v>
      </c>
      <c r="AH133" s="12">
        <f t="shared" si="48"/>
        <v>145112.836986</v>
      </c>
      <c r="AI133" s="12">
        <f t="shared" si="48"/>
        <v>146130.63683399998</v>
      </c>
      <c r="AJ133" s="12">
        <f t="shared" si="48"/>
        <v>143638</v>
      </c>
      <c r="AK133" s="12">
        <f t="shared" si="48"/>
        <v>143610.76420600002</v>
      </c>
      <c r="AL133" s="12">
        <f t="shared" si="48"/>
        <v>146295.673818</v>
      </c>
      <c r="AM133" s="12">
        <f t="shared" si="48"/>
        <v>141459.357021</v>
      </c>
      <c r="AN133" s="12">
        <f t="shared" si="48"/>
        <v>146022.6084</v>
      </c>
      <c r="AO133" s="12">
        <f t="shared" si="48"/>
        <v>145876.4556624</v>
      </c>
      <c r="AP133" s="12">
        <f t="shared" si="48"/>
        <v>146129.5</v>
      </c>
      <c r="AQ133" s="12">
        <f t="shared" si="48"/>
        <v>145196.32691</v>
      </c>
      <c r="AR133" s="12">
        <f t="shared" si="48"/>
        <v>154814.11624999996</v>
      </c>
      <c r="AS133" s="12">
        <f t="shared" si="48"/>
        <v>148103.9856448</v>
      </c>
      <c r="AT133" s="12">
        <f t="shared" si="48"/>
        <v>148442.57063499998</v>
      </c>
      <c r="AU133" s="12">
        <f t="shared" si="48"/>
        <v>147945.224934</v>
      </c>
      <c r="AV133" s="12">
        <f t="shared" si="48"/>
        <v>148469</v>
      </c>
      <c r="AW133" s="12">
        <f t="shared" si="48"/>
        <v>147745.7311618</v>
      </c>
      <c r="AX133" s="12">
        <f t="shared" si="48"/>
        <v>147969.398916</v>
      </c>
      <c r="AY133" s="12">
        <f t="shared" si="48"/>
        <v>147860.76633850002</v>
      </c>
      <c r="AZ133" s="12">
        <f t="shared" si="48"/>
        <v>156088.45287600002</v>
      </c>
      <c r="BA133" s="12">
        <f t="shared" si="48"/>
        <v>155611.76111999998</v>
      </c>
      <c r="BB133" s="12">
        <f t="shared" si="48"/>
        <v>157800.817828</v>
      </c>
      <c r="BC133" s="12">
        <f t="shared" si="48"/>
        <v>157833.2890736</v>
      </c>
      <c r="BD133" s="12">
        <f>BD140+BD142</f>
        <v>158857.4312472</v>
      </c>
      <c r="BE133" s="12">
        <f>BE140+BE142</f>
        <v>158296.6875168</v>
      </c>
      <c r="BF133" s="12">
        <f>BF140+BF142</f>
        <v>164056.7787336</v>
      </c>
      <c r="BG133" s="12">
        <f>BG140+BG142</f>
        <v>163981.538556</v>
      </c>
      <c r="BH133" s="116">
        <f>BE133/4.7628</f>
        <v>33236.056</v>
      </c>
      <c r="BI133" s="93"/>
    </row>
    <row r="134" spans="1:61" s="76" customFormat="1" ht="12.75">
      <c r="A134" s="34" t="s">
        <v>3</v>
      </c>
      <c r="B134" s="35">
        <f aca="true" t="shared" si="49" ref="B134:BC134">B133/B69</f>
        <v>0.14251566913886077</v>
      </c>
      <c r="C134" s="35">
        <f t="shared" si="49"/>
        <v>0.16523405660549906</v>
      </c>
      <c r="D134" s="35">
        <f>D133/D69</f>
        <v>0.1868745566037419</v>
      </c>
      <c r="E134" s="35">
        <f>E133/E69</f>
        <v>0.2041620287610439</v>
      </c>
      <c r="F134" s="35">
        <f>F133/F69</f>
        <v>0.20439364156209336</v>
      </c>
      <c r="G134" s="35">
        <f t="shared" si="49"/>
        <v>0.19521013035130066</v>
      </c>
      <c r="H134" s="35">
        <f t="shared" si="49"/>
        <v>0.19508327129007244</v>
      </c>
      <c r="I134" s="35">
        <f t="shared" si="49"/>
        <v>0.18649515545439985</v>
      </c>
      <c r="J134" s="35">
        <f t="shared" si="49"/>
        <v>0.18595387222577253</v>
      </c>
      <c r="K134" s="35">
        <f t="shared" si="49"/>
        <v>0.18388849704102356</v>
      </c>
      <c r="L134" s="35">
        <f t="shared" si="49"/>
        <v>0.1834105471927283</v>
      </c>
      <c r="M134" s="35">
        <f t="shared" si="49"/>
        <v>0.18403000563426838</v>
      </c>
      <c r="N134" s="35">
        <f t="shared" si="49"/>
        <v>0.1853144523904322</v>
      </c>
      <c r="O134" s="35">
        <f t="shared" si="49"/>
        <v>0.1813281017421263</v>
      </c>
      <c r="P134" s="35">
        <f t="shared" si="49"/>
        <v>0.19484782216035573</v>
      </c>
      <c r="Q134" s="35">
        <f t="shared" si="49"/>
        <v>0.1938049514571879</v>
      </c>
      <c r="R134" s="35">
        <f>R133/R69</f>
        <v>0.18674121652343287</v>
      </c>
      <c r="S134" s="35">
        <f t="shared" si="49"/>
        <v>0.188269588595679</v>
      </c>
      <c r="T134" s="35">
        <f t="shared" si="49"/>
        <v>0.18951715331088662</v>
      </c>
      <c r="U134" s="35">
        <f t="shared" si="49"/>
        <v>0.18354655010947987</v>
      </c>
      <c r="V134" s="35">
        <f t="shared" si="49"/>
        <v>0.18081750578567038</v>
      </c>
      <c r="W134" s="35">
        <f t="shared" si="49"/>
        <v>0.18534785361497746</v>
      </c>
      <c r="X134" s="35">
        <f t="shared" si="49"/>
        <v>0.1779659365121954</v>
      </c>
      <c r="Y134" s="35">
        <f t="shared" si="49"/>
        <v>0.1777575661484466</v>
      </c>
      <c r="Z134" s="35">
        <f t="shared" si="49"/>
        <v>0.18088472774285405</v>
      </c>
      <c r="AA134" s="35">
        <f t="shared" si="49"/>
        <v>0.17565150080487635</v>
      </c>
      <c r="AB134" s="35">
        <f t="shared" si="49"/>
        <v>0.18311934251800266</v>
      </c>
      <c r="AC134" s="35">
        <f t="shared" si="49"/>
        <v>0.1824350444408497</v>
      </c>
      <c r="AD134" s="35">
        <f>AD133/AD69</f>
        <v>0.1794037653485986</v>
      </c>
      <c r="AE134" s="35">
        <f t="shared" si="49"/>
        <v>0.1782955065389004</v>
      </c>
      <c r="AF134" s="35">
        <f t="shared" si="49"/>
        <v>0.1786542907331259</v>
      </c>
      <c r="AG134" s="35">
        <f t="shared" si="49"/>
        <v>0.1764238802893579</v>
      </c>
      <c r="AH134" s="35">
        <f t="shared" si="49"/>
        <v>0.1850998927842174</v>
      </c>
      <c r="AI134" s="35">
        <f t="shared" si="49"/>
        <v>0.1863981558921102</v>
      </c>
      <c r="AJ134" s="35">
        <f t="shared" si="49"/>
        <v>0.17929558969647644</v>
      </c>
      <c r="AK134" s="35" t="e">
        <f t="shared" si="49"/>
        <v>#DIV/0!</v>
      </c>
      <c r="AL134" s="35">
        <f t="shared" si="49"/>
        <v>0.1826130209780259</v>
      </c>
      <c r="AM134" s="35">
        <f t="shared" si="49"/>
        <v>0.17040393000638204</v>
      </c>
      <c r="AN134" s="35">
        <f t="shared" si="49"/>
        <v>0.17590088676459215</v>
      </c>
      <c r="AO134" s="35">
        <f t="shared" si="49"/>
        <v>0.17572482912236395</v>
      </c>
      <c r="AP134" s="35">
        <f>AP133/AP69</f>
        <v>0.17057254581533793</v>
      </c>
      <c r="AQ134" s="35">
        <f t="shared" si="49"/>
        <v>0.16909649284768957</v>
      </c>
      <c r="AR134" s="118">
        <f t="shared" si="49"/>
        <v>0.18029742665195841</v>
      </c>
      <c r="AS134" s="118">
        <f t="shared" si="49"/>
        <v>0.16948935598272744</v>
      </c>
      <c r="AT134" s="118">
        <f t="shared" si="49"/>
        <v>0.1698768307132998</v>
      </c>
      <c r="AU134" s="118">
        <f t="shared" si="49"/>
        <v>0.1693076711312921</v>
      </c>
      <c r="AV134" s="118">
        <f t="shared" si="49"/>
        <v>0.16625823178078805</v>
      </c>
      <c r="AW134" s="118">
        <f t="shared" si="49"/>
        <v>0.16544830244778738</v>
      </c>
      <c r="AX134" s="118">
        <f t="shared" si="49"/>
        <v>0.16569876958449384</v>
      </c>
      <c r="AY134" s="118">
        <f t="shared" si="49"/>
        <v>0.1610764091917658</v>
      </c>
      <c r="AZ134" s="118">
        <f t="shared" si="49"/>
        <v>0.1700394778693752</v>
      </c>
      <c r="BA134" s="118">
        <f t="shared" si="49"/>
        <v>0.1695201798956854</v>
      </c>
      <c r="BB134" s="54">
        <f>BB133/BB11</f>
        <v>0.4781163201476586</v>
      </c>
      <c r="BC134" s="118">
        <f t="shared" si="49"/>
        <v>0.16308082223093595</v>
      </c>
      <c r="BD134" s="118">
        <f>BD133/BD69</f>
        <v>0.16413901438249268</v>
      </c>
      <c r="BE134" s="118">
        <f>BE133/BE69</f>
        <v>0.16355962742837662</v>
      </c>
      <c r="BF134" s="118">
        <f>BF133/BF69</f>
        <v>0.1695112262151376</v>
      </c>
      <c r="BG134" s="54">
        <f>BG133/BG69</f>
        <v>0.16943348450361512</v>
      </c>
      <c r="BH134" s="75"/>
      <c r="BI134" s="75"/>
    </row>
    <row r="135" spans="1:61" ht="21" customHeight="1">
      <c r="A135" s="145" t="s">
        <v>42</v>
      </c>
      <c r="B135" s="12"/>
      <c r="C135" s="12"/>
      <c r="D135" s="13"/>
      <c r="E135" s="12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I135" s="119">
        <f>BB133/BB69</f>
        <v>0.1671228997515622</v>
      </c>
    </row>
    <row r="136" spans="1:59" ht="12.75">
      <c r="A136" s="21" t="s">
        <v>5</v>
      </c>
      <c r="B136" s="6"/>
      <c r="C136" s="6"/>
      <c r="D136" s="2"/>
      <c r="E136" s="6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1:59" ht="12.75">
      <c r="A137" s="21" t="s">
        <v>6</v>
      </c>
      <c r="B137" s="8">
        <f>B141</f>
        <v>6193.24992</v>
      </c>
      <c r="C137" s="8">
        <f aca="true" t="shared" si="50" ref="C137:BE137">C141</f>
        <v>7998.010944</v>
      </c>
      <c r="D137" s="4">
        <f t="shared" si="50"/>
        <v>4616.47688</v>
      </c>
      <c r="E137" s="8">
        <f t="shared" si="50"/>
        <v>1573.68123</v>
      </c>
      <c r="F137" s="7">
        <f t="shared" si="50"/>
        <v>879.477662</v>
      </c>
      <c r="G137" s="7">
        <f t="shared" si="50"/>
        <v>380.26944</v>
      </c>
      <c r="H137" s="7">
        <f t="shared" si="50"/>
        <v>505.6327330000001</v>
      </c>
      <c r="I137" s="7">
        <f t="shared" si="50"/>
        <v>581.9613059999999</v>
      </c>
      <c r="J137" s="7">
        <f t="shared" si="50"/>
        <v>603.8330760000001</v>
      </c>
      <c r="K137" s="7">
        <f t="shared" si="50"/>
        <v>489.14411</v>
      </c>
      <c r="L137" s="7">
        <f t="shared" si="50"/>
        <v>435.226815</v>
      </c>
      <c r="M137" s="7">
        <f t="shared" si="50"/>
        <v>158.60793</v>
      </c>
      <c r="N137" s="7">
        <f t="shared" si="50"/>
        <v>291.765143</v>
      </c>
      <c r="O137" s="7">
        <f t="shared" si="50"/>
        <v>49.11370399999999</v>
      </c>
      <c r="P137" s="7">
        <f t="shared" si="50"/>
        <v>58.948260000000005</v>
      </c>
      <c r="Q137" s="7">
        <f t="shared" si="50"/>
        <v>112.92839999999998</v>
      </c>
      <c r="R137" s="7">
        <f t="shared" si="50"/>
        <v>69.13435999999999</v>
      </c>
      <c r="S137" s="7">
        <f t="shared" si="50"/>
        <v>92.442143</v>
      </c>
      <c r="T137" s="7">
        <f t="shared" si="50"/>
        <v>111.05962</v>
      </c>
      <c r="U137" s="7">
        <f t="shared" si="50"/>
        <v>77.17304999999999</v>
      </c>
      <c r="V137" s="7">
        <f t="shared" si="50"/>
        <v>83.50351</v>
      </c>
      <c r="W137" s="7">
        <f t="shared" si="50"/>
        <v>93.342935</v>
      </c>
      <c r="X137" s="7">
        <f t="shared" si="50"/>
        <v>108.82047</v>
      </c>
      <c r="Y137" s="7">
        <f t="shared" si="50"/>
        <v>121.36957199999999</v>
      </c>
      <c r="Z137" s="7">
        <f t="shared" si="50"/>
        <v>447.75489000000005</v>
      </c>
      <c r="AA137" s="7">
        <f t="shared" si="50"/>
        <v>460.323297</v>
      </c>
      <c r="AB137" s="7">
        <f t="shared" si="50"/>
        <v>434.84510700000004</v>
      </c>
      <c r="AC137" s="7">
        <f t="shared" si="50"/>
        <v>454.01358600000003</v>
      </c>
      <c r="AD137" s="7">
        <f t="shared" si="50"/>
        <v>427.54456500000003</v>
      </c>
      <c r="AE137" s="7">
        <f t="shared" si="50"/>
        <v>430.698394</v>
      </c>
      <c r="AF137" s="7">
        <f t="shared" si="50"/>
        <v>579.58344</v>
      </c>
      <c r="AG137" s="8">
        <f t="shared" si="50"/>
        <v>413.285391</v>
      </c>
      <c r="AH137" s="8">
        <f t="shared" si="50"/>
        <v>178.61201999999997</v>
      </c>
      <c r="AI137" s="8">
        <f t="shared" si="50"/>
        <v>154.79267399999998</v>
      </c>
      <c r="AJ137" s="8">
        <f>AJ141</f>
        <v>322.370581</v>
      </c>
      <c r="AK137" s="8">
        <f t="shared" si="50"/>
        <v>389.270126</v>
      </c>
      <c r="AL137" s="8">
        <f t="shared" si="50"/>
        <v>450.79692000000006</v>
      </c>
      <c r="AM137" s="8">
        <f t="shared" si="50"/>
        <v>283.948434</v>
      </c>
      <c r="AN137" s="8">
        <f t="shared" si="50"/>
        <v>288.37193499999995</v>
      </c>
      <c r="AO137" s="8">
        <f t="shared" si="50"/>
        <v>256.992192</v>
      </c>
      <c r="AP137" s="8">
        <f t="shared" si="50"/>
        <v>319.88840500000003</v>
      </c>
      <c r="AQ137" s="8">
        <f t="shared" si="50"/>
        <v>196.482876</v>
      </c>
      <c r="AR137" s="8">
        <f t="shared" si="50"/>
        <v>189.57724999999996</v>
      </c>
      <c r="AS137" s="8">
        <f t="shared" si="50"/>
        <v>404.000224</v>
      </c>
      <c r="AT137" s="8">
        <f t="shared" si="50"/>
        <v>322.116346</v>
      </c>
      <c r="AU137" s="8">
        <f t="shared" si="50"/>
        <v>248.133014</v>
      </c>
      <c r="AV137" s="8">
        <f t="shared" si="50"/>
        <v>145.006821</v>
      </c>
      <c r="AW137" s="8">
        <f t="shared" si="50"/>
        <v>173.56125</v>
      </c>
      <c r="AX137" s="8">
        <f t="shared" si="50"/>
        <v>53.406</v>
      </c>
      <c r="AY137" s="8">
        <f t="shared" si="50"/>
        <v>30.080865000000003</v>
      </c>
      <c r="AZ137" s="8">
        <f t="shared" si="50"/>
        <v>31.127556000000002</v>
      </c>
      <c r="BA137" s="8">
        <f t="shared" si="50"/>
        <v>44.79071999999999</v>
      </c>
      <c r="BB137" s="8">
        <f t="shared" si="50"/>
        <v>154.654924</v>
      </c>
      <c r="BC137" s="8">
        <f t="shared" si="50"/>
        <v>65.38758800000001</v>
      </c>
      <c r="BD137" s="8">
        <f t="shared" si="50"/>
        <v>18.018079999999998</v>
      </c>
      <c r="BE137" s="8">
        <f t="shared" si="50"/>
        <v>13.240584</v>
      </c>
      <c r="BF137" s="8">
        <f>BF141</f>
        <v>13.227796</v>
      </c>
      <c r="BG137" s="8">
        <f>BG141</f>
        <v>13.486308000000001</v>
      </c>
    </row>
    <row r="138" spans="1:61" ht="12.75">
      <c r="A138" s="21" t="s">
        <v>7</v>
      </c>
      <c r="B138" s="8">
        <f>B133-B137</f>
        <v>69286.468832</v>
      </c>
      <c r="C138" s="8">
        <f aca="true" t="shared" si="51" ref="C138:BE138">C133-C137</f>
        <v>84873.77337980001</v>
      </c>
      <c r="D138" s="4">
        <f t="shared" si="51"/>
        <v>106642.4672615</v>
      </c>
      <c r="E138" s="8">
        <f t="shared" si="51"/>
        <v>128570.62897589999</v>
      </c>
      <c r="F138" s="7">
        <f t="shared" si="51"/>
        <v>135776.06715000002</v>
      </c>
      <c r="G138" s="7">
        <f t="shared" si="51"/>
        <v>129754.02622700002</v>
      </c>
      <c r="H138" s="7">
        <f t="shared" si="51"/>
        <v>129544.09399000001</v>
      </c>
      <c r="I138" s="7">
        <f t="shared" si="51"/>
        <v>125547.938694</v>
      </c>
      <c r="J138" s="7">
        <f t="shared" si="51"/>
        <v>126758.930678</v>
      </c>
      <c r="K138" s="7">
        <f t="shared" si="51"/>
        <v>125459.0113405</v>
      </c>
      <c r="L138" s="7">
        <f t="shared" si="51"/>
        <v>125185.57318499999</v>
      </c>
      <c r="M138" s="7">
        <f t="shared" si="51"/>
        <v>125886.469006</v>
      </c>
      <c r="N138" s="7">
        <f t="shared" si="51"/>
        <v>126633.04979900003</v>
      </c>
      <c r="O138" s="7">
        <f t="shared" si="51"/>
        <v>124145.386296</v>
      </c>
      <c r="P138" s="7">
        <f t="shared" si="51"/>
        <v>133395.42321799998</v>
      </c>
      <c r="Q138" s="7">
        <f t="shared" si="51"/>
        <v>135015.67471499997</v>
      </c>
      <c r="R138" s="7">
        <f t="shared" si="51"/>
        <v>133000.41564</v>
      </c>
      <c r="S138" s="7">
        <f t="shared" si="51"/>
        <v>134106.120608</v>
      </c>
      <c r="T138" s="7">
        <f t="shared" si="51"/>
        <v>134976.76726</v>
      </c>
      <c r="U138" s="7">
        <f t="shared" si="51"/>
        <v>132025.15189599997</v>
      </c>
      <c r="V138" s="7">
        <f t="shared" si="51"/>
        <v>133216.84335799998</v>
      </c>
      <c r="W138" s="7">
        <f t="shared" si="51"/>
        <v>136546.818485</v>
      </c>
      <c r="X138" s="7">
        <f t="shared" si="51"/>
        <v>131089.32301</v>
      </c>
      <c r="Y138" s="7">
        <f t="shared" si="51"/>
        <v>130923.161338</v>
      </c>
      <c r="Z138" s="7">
        <f t="shared" si="51"/>
        <v>132902.14862999998</v>
      </c>
      <c r="AA138" s="7">
        <f t="shared" si="51"/>
        <v>131036.65853700001</v>
      </c>
      <c r="AB138" s="7">
        <f t="shared" si="51"/>
        <v>136652.744502</v>
      </c>
      <c r="AC138" s="7">
        <f t="shared" si="51"/>
        <v>136121.29385400002</v>
      </c>
      <c r="AD138" s="7">
        <f t="shared" si="51"/>
        <v>136840.555435</v>
      </c>
      <c r="AE138" s="7">
        <f t="shared" si="51"/>
        <v>135336.622834</v>
      </c>
      <c r="AF138" s="7">
        <f t="shared" si="51"/>
        <v>135460.94248000003</v>
      </c>
      <c r="AG138" s="8">
        <f t="shared" si="51"/>
        <v>137897.814609</v>
      </c>
      <c r="AH138" s="8">
        <f t="shared" si="51"/>
        <v>144934.224966</v>
      </c>
      <c r="AI138" s="8">
        <f t="shared" si="51"/>
        <v>145975.84415999998</v>
      </c>
      <c r="AJ138" s="8">
        <f>AJ133-AJ137</f>
        <v>143315.629419</v>
      </c>
      <c r="AK138" s="8">
        <f t="shared" si="51"/>
        <v>143221.49408000003</v>
      </c>
      <c r="AL138" s="8">
        <f t="shared" si="51"/>
        <v>145844.87689800002</v>
      </c>
      <c r="AM138" s="8">
        <f t="shared" si="51"/>
        <v>141175.408587</v>
      </c>
      <c r="AN138" s="8">
        <f t="shared" si="51"/>
        <v>145734.236465</v>
      </c>
      <c r="AO138" s="8">
        <f t="shared" si="51"/>
        <v>145619.4634704</v>
      </c>
      <c r="AP138" s="8">
        <f t="shared" si="51"/>
        <v>145809.611595</v>
      </c>
      <c r="AQ138" s="8">
        <f t="shared" si="51"/>
        <v>144999.844034</v>
      </c>
      <c r="AR138" s="8">
        <f t="shared" si="51"/>
        <v>154624.53899999996</v>
      </c>
      <c r="AS138" s="8">
        <f t="shared" si="51"/>
        <v>147699.98542080002</v>
      </c>
      <c r="AT138" s="8">
        <f t="shared" si="51"/>
        <v>148120.454289</v>
      </c>
      <c r="AU138" s="8">
        <f t="shared" si="51"/>
        <v>147697.09192</v>
      </c>
      <c r="AV138" s="8">
        <f t="shared" si="51"/>
        <v>148323.993179</v>
      </c>
      <c r="AW138" s="8">
        <f t="shared" si="51"/>
        <v>147572.1699118</v>
      </c>
      <c r="AX138" s="8">
        <f t="shared" si="51"/>
        <v>147915.99291600002</v>
      </c>
      <c r="AY138" s="8">
        <f t="shared" si="51"/>
        <v>147830.68547350002</v>
      </c>
      <c r="AZ138" s="8">
        <f t="shared" si="51"/>
        <v>156057.32532000003</v>
      </c>
      <c r="BA138" s="8">
        <f t="shared" si="51"/>
        <v>155566.9704</v>
      </c>
      <c r="BB138" s="8">
        <f t="shared" si="51"/>
        <v>157646.162904</v>
      </c>
      <c r="BC138" s="8">
        <f t="shared" si="51"/>
        <v>157767.90148559998</v>
      </c>
      <c r="BD138" s="8">
        <f t="shared" si="51"/>
        <v>158839.4131672</v>
      </c>
      <c r="BE138" s="8">
        <f t="shared" si="51"/>
        <v>158283.4469328</v>
      </c>
      <c r="BF138" s="8">
        <f>BF133-BF137</f>
        <v>164043.5509376</v>
      </c>
      <c r="BG138" s="8">
        <f>BG133-BG137</f>
        <v>163968.05224800002</v>
      </c>
      <c r="BI138" s="53">
        <f>BI135+BH78</f>
        <v>0.1671228997515622</v>
      </c>
    </row>
    <row r="139" spans="1:59" ht="12.75">
      <c r="A139" s="21" t="s">
        <v>43</v>
      </c>
      <c r="B139" s="8"/>
      <c r="C139" s="8"/>
      <c r="D139" s="4"/>
      <c r="E139" s="8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1:59" ht="12.75">
      <c r="A140" s="21" t="s">
        <v>44</v>
      </c>
      <c r="B140" s="8">
        <v>18645.73568</v>
      </c>
      <c r="C140" s="8">
        <f>(4450+2322.8-873.5)*4.3197</f>
        <v>25483.20621</v>
      </c>
      <c r="D140" s="4">
        <f>(6000+1705.8+3199.9-1405.4)*4.4287</f>
        <v>42073.978610000006</v>
      </c>
      <c r="E140" s="8">
        <f>(8000+2721.8+5084.9-2055.3)*4.4847</f>
        <v>61670.90357999999</v>
      </c>
      <c r="F140" s="7">
        <v>73038.777686</v>
      </c>
      <c r="G140" s="7">
        <v>72416.13991200001</v>
      </c>
      <c r="H140" s="7">
        <f>(10750+5119.56+584.08)*4.4381</f>
        <v>73022.89968400002</v>
      </c>
      <c r="I140" s="7">
        <v>70888.3</v>
      </c>
      <c r="J140" s="7">
        <f>(9750+5142.45+1190.47)*4.4198</f>
        <v>71083.289816</v>
      </c>
      <c r="K140" s="7">
        <f>(9750+5233.74+689.91)*4.4395</f>
        <v>69583.16917499999</v>
      </c>
      <c r="L140" s="7">
        <v>67454.4</v>
      </c>
      <c r="M140" s="7">
        <f>(9250+5240.6+747.67)*4.407</f>
        <v>67155.05589</v>
      </c>
      <c r="N140" s="7">
        <f>(9250+5125.97+969.23)*4.4321</f>
        <v>68011.46092000001</v>
      </c>
      <c r="O140" s="7">
        <v>67040.9</v>
      </c>
      <c r="P140" s="7">
        <f>(11250+5222+418.05)*4.4322</f>
        <v>74860.07961</v>
      </c>
      <c r="Q140" s="7">
        <f>(11250+5428.62+562.55)*4.446</f>
        <v>76654.24181999998</v>
      </c>
      <c r="R140" s="7">
        <v>74287.35</v>
      </c>
      <c r="S140" s="7">
        <f>(11250+5266.53-137.9)*4.5337</f>
        <v>74255.79483099999</v>
      </c>
      <c r="T140" s="7">
        <f>(12500+5271.13-745.8)*4.4692</f>
        <v>76089.604836</v>
      </c>
      <c r="U140" s="7">
        <f>(12500+5057.37-819.2)*4.4738</f>
        <v>74883.22494599999</v>
      </c>
      <c r="V140" s="7">
        <f>(12500+5053.18-821.38)*4.4774</f>
        <v>74914.96132</v>
      </c>
      <c r="W140" s="7">
        <f>(13500+5160.66-1352.02)*4.5115</f>
        <v>78087.92936</v>
      </c>
      <c r="X140" s="7">
        <f>(12000+5166.68-800.8)*4.521</f>
        <v>73990.14348</v>
      </c>
      <c r="Y140" s="7">
        <f>(12000+5176.9-707.75)*4.4654</f>
        <v>73541.34241</v>
      </c>
      <c r="Z140" s="7">
        <f>(17157.4-25.38)*4.4535</f>
        <v>76297.45107</v>
      </c>
      <c r="AA140" s="7">
        <f>(17142.88-77.3)*4.4523</f>
        <v>75981.08183400001</v>
      </c>
      <c r="AB140" s="7">
        <f>(18248.98-487.23)*4.5057</f>
        <v>80029.116975</v>
      </c>
      <c r="AC140" s="7">
        <f>(18425.8-780.3)*4.5162</f>
        <v>79690.60710000001</v>
      </c>
      <c r="AD140" s="7">
        <v>81698.4</v>
      </c>
      <c r="AE140" s="7">
        <f>(18371.33-599.74)*4.5038</f>
        <v>80039.687042</v>
      </c>
      <c r="AF140" s="7">
        <f>(18425.32-666.68)*4.516</f>
        <v>80198.01824</v>
      </c>
      <c r="AG140" s="8">
        <v>83457.5</v>
      </c>
      <c r="AH140" s="8">
        <f>(20007.86-235.02)*4.5333</f>
        <v>89636.215572</v>
      </c>
      <c r="AI140" s="8">
        <f>(19888.79-60.72)*4.5702</f>
        <v>90618.245514</v>
      </c>
      <c r="AJ140" s="8">
        <v>89755</v>
      </c>
      <c r="AK140" s="8">
        <f>(19651.96-156.73)*4.5598</f>
        <v>88894.349754</v>
      </c>
      <c r="AL140" s="8">
        <f>(19591.64-147.75)*4.5906</f>
        <v>89259.121434</v>
      </c>
      <c r="AM140" s="8">
        <f>(19623.08+120.23)*4.5991</f>
        <v>90801.45702100001</v>
      </c>
      <c r="AN140" s="8">
        <f>(20693.25-153.16)*4.5985</f>
        <v>94453.603865</v>
      </c>
      <c r="AO140" s="8">
        <f>(20603.96-324.2)*4.6422</f>
        <v>94142.70187199999</v>
      </c>
      <c r="AP140" s="8">
        <v>95745.5</v>
      </c>
      <c r="AQ140" s="8">
        <f>(20371.77-168.05)*4.6582</f>
        <v>94112.968504</v>
      </c>
      <c r="AR140" s="8">
        <f>(22452.73-195.33)*4.6625</f>
        <v>103775.12749999999</v>
      </c>
      <c r="AS140" s="8">
        <f>(22413.99-131.58)*4.6576</f>
        <v>103782.55281600001</v>
      </c>
      <c r="AT140" s="8">
        <f>(22499.1-130.75)*4.6589</f>
        <v>104211.90581499999</v>
      </c>
      <c r="AU140" s="8">
        <f>(22664.95-304.05)*4.6485</f>
        <v>103944.64365000001</v>
      </c>
      <c r="AV140" s="8">
        <v>104583.9</v>
      </c>
      <c r="AW140" s="8">
        <f>(21982.35+584.44)*4.6283</f>
        <v>104445.874157</v>
      </c>
      <c r="AX140" s="8">
        <f>(22006.66+549.19)*4.644</f>
        <v>104749.3674</v>
      </c>
      <c r="AY140" s="8">
        <f>(22042.9+580.73)*4.6637</f>
        <v>105509.82323100002</v>
      </c>
      <c r="AZ140" s="8">
        <f>(23923.12+481.11)*4.6668</f>
        <v>113889.660564</v>
      </c>
      <c r="BA140" s="8">
        <f>(23917.7+516)*4.656</f>
        <v>113763.3072</v>
      </c>
      <c r="BB140" s="8">
        <f>(23868.5+948.25)*4.6639</f>
        <v>115742.840325</v>
      </c>
      <c r="BC140" s="8">
        <f>(23855.75+462.38)*4.7348</f>
        <v>115141.481924</v>
      </c>
      <c r="BD140" s="8">
        <f>(23892.48+624.31)*4.7416</f>
        <v>116248.811464</v>
      </c>
      <c r="BE140" s="8">
        <f>(23986.18+305.17)*4.7628</f>
        <v>115694.84178</v>
      </c>
      <c r="BF140" s="8">
        <f>(26992.85-408.55)*4.7582</f>
        <v>126493.41626000001</v>
      </c>
      <c r="BG140" s="8">
        <f>(27026.18-365.23)*4.7487</f>
        <v>126604.85326500001</v>
      </c>
    </row>
    <row r="141" spans="1:59" ht="12.75">
      <c r="A141" s="60" t="s">
        <v>11</v>
      </c>
      <c r="B141" s="8">
        <v>6193.24992</v>
      </c>
      <c r="C141" s="8">
        <f>C156</f>
        <v>7998.010944</v>
      </c>
      <c r="D141" s="4">
        <f>D156</f>
        <v>4616.47688</v>
      </c>
      <c r="E141" s="8">
        <f>E156</f>
        <v>1573.68123</v>
      </c>
      <c r="F141" s="7">
        <v>879.477662</v>
      </c>
      <c r="G141" s="7">
        <v>380.26944</v>
      </c>
      <c r="H141" s="7">
        <f aca="true" t="shared" si="52" ref="H141:BC141">H156</f>
        <v>505.6327330000001</v>
      </c>
      <c r="I141" s="7">
        <v>581.9613059999999</v>
      </c>
      <c r="J141" s="7">
        <f t="shared" si="52"/>
        <v>603.8330760000001</v>
      </c>
      <c r="K141" s="7">
        <f t="shared" si="52"/>
        <v>489.14411</v>
      </c>
      <c r="L141" s="7">
        <v>435.226815</v>
      </c>
      <c r="M141" s="7">
        <f t="shared" si="52"/>
        <v>158.60793</v>
      </c>
      <c r="N141" s="7">
        <f t="shared" si="52"/>
        <v>291.765143</v>
      </c>
      <c r="O141" s="7">
        <f t="shared" si="52"/>
        <v>49.11370399999999</v>
      </c>
      <c r="P141" s="7">
        <f t="shared" si="52"/>
        <v>58.948260000000005</v>
      </c>
      <c r="Q141" s="7">
        <f t="shared" si="52"/>
        <v>112.92839999999998</v>
      </c>
      <c r="R141" s="7">
        <f t="shared" si="52"/>
        <v>69.13435999999999</v>
      </c>
      <c r="S141" s="7">
        <f t="shared" si="52"/>
        <v>92.442143</v>
      </c>
      <c r="T141" s="7">
        <f t="shared" si="52"/>
        <v>111.05962</v>
      </c>
      <c r="U141" s="7">
        <f t="shared" si="52"/>
        <v>77.17304999999999</v>
      </c>
      <c r="V141" s="7">
        <f t="shared" si="52"/>
        <v>83.50351</v>
      </c>
      <c r="W141" s="7">
        <f t="shared" si="52"/>
        <v>93.342935</v>
      </c>
      <c r="X141" s="7">
        <f t="shared" si="52"/>
        <v>108.82047</v>
      </c>
      <c r="Y141" s="7">
        <f t="shared" si="52"/>
        <v>121.36957199999999</v>
      </c>
      <c r="Z141" s="7">
        <f t="shared" si="52"/>
        <v>447.75489000000005</v>
      </c>
      <c r="AA141" s="7">
        <f t="shared" si="52"/>
        <v>460.323297</v>
      </c>
      <c r="AB141" s="7">
        <f t="shared" si="52"/>
        <v>434.84510700000004</v>
      </c>
      <c r="AC141" s="7">
        <f t="shared" si="52"/>
        <v>454.01358600000003</v>
      </c>
      <c r="AD141" s="7">
        <f t="shared" si="52"/>
        <v>427.54456500000003</v>
      </c>
      <c r="AE141" s="7">
        <f t="shared" si="52"/>
        <v>430.698394</v>
      </c>
      <c r="AF141" s="7">
        <f t="shared" si="52"/>
        <v>579.58344</v>
      </c>
      <c r="AG141" s="8">
        <f t="shared" si="52"/>
        <v>413.285391</v>
      </c>
      <c r="AH141" s="8">
        <f t="shared" si="52"/>
        <v>178.61201999999997</v>
      </c>
      <c r="AI141" s="8">
        <f t="shared" si="52"/>
        <v>154.79267399999998</v>
      </c>
      <c r="AJ141" s="8">
        <f t="shared" si="52"/>
        <v>322.370581</v>
      </c>
      <c r="AK141" s="8">
        <f t="shared" si="52"/>
        <v>389.270126</v>
      </c>
      <c r="AL141" s="8">
        <f t="shared" si="52"/>
        <v>450.79692000000006</v>
      </c>
      <c r="AM141" s="8">
        <f t="shared" si="52"/>
        <v>283.948434</v>
      </c>
      <c r="AN141" s="8">
        <f t="shared" si="52"/>
        <v>288.37193499999995</v>
      </c>
      <c r="AO141" s="8">
        <f t="shared" si="52"/>
        <v>256.992192</v>
      </c>
      <c r="AP141" s="8">
        <f t="shared" si="52"/>
        <v>319.88840500000003</v>
      </c>
      <c r="AQ141" s="8">
        <f t="shared" si="52"/>
        <v>196.482876</v>
      </c>
      <c r="AR141" s="8">
        <f t="shared" si="52"/>
        <v>189.57724999999996</v>
      </c>
      <c r="AS141" s="8">
        <f t="shared" si="52"/>
        <v>404.000224</v>
      </c>
      <c r="AT141" s="8">
        <f t="shared" si="52"/>
        <v>322.116346</v>
      </c>
      <c r="AU141" s="8">
        <f t="shared" si="52"/>
        <v>248.133014</v>
      </c>
      <c r="AV141" s="8">
        <f t="shared" si="52"/>
        <v>145.006821</v>
      </c>
      <c r="AW141" s="8">
        <f t="shared" si="52"/>
        <v>173.56125</v>
      </c>
      <c r="AX141" s="8">
        <f t="shared" si="52"/>
        <v>53.406</v>
      </c>
      <c r="AY141" s="8">
        <f t="shared" si="52"/>
        <v>30.080865000000003</v>
      </c>
      <c r="AZ141" s="8">
        <f t="shared" si="52"/>
        <v>31.127556000000002</v>
      </c>
      <c r="BA141" s="8">
        <f t="shared" si="52"/>
        <v>44.79071999999999</v>
      </c>
      <c r="BB141" s="8">
        <f t="shared" si="52"/>
        <v>154.654924</v>
      </c>
      <c r="BC141" s="8">
        <f t="shared" si="52"/>
        <v>65.38758800000001</v>
      </c>
      <c r="BD141" s="8">
        <f>BD156</f>
        <v>18.018079999999998</v>
      </c>
      <c r="BE141" s="8">
        <f>BE156</f>
        <v>13.240584</v>
      </c>
      <c r="BF141" s="8">
        <f>BF156</f>
        <v>13.227796</v>
      </c>
      <c r="BG141" s="8">
        <f>BG156</f>
        <v>13.486308000000001</v>
      </c>
    </row>
    <row r="142" spans="1:59" ht="12.75">
      <c r="A142" s="21" t="s">
        <v>45</v>
      </c>
      <c r="B142" s="8">
        <f>59110.483072-2276.5</f>
        <v>56833.983072</v>
      </c>
      <c r="C142" s="8">
        <f>(19750.73+9.03+735.62+-4450+10.06+8.315)*4.3197+7.22*3.3393+5.4*4.3197+30.11*4.3197+0.561*3.3393-2181.4</f>
        <v>67388.5781138</v>
      </c>
      <c r="D142" s="4">
        <f>71294.6655315+1.5-2111.2</f>
        <v>69184.9655315</v>
      </c>
      <c r="E142" s="8">
        <f>(25702.8+545.9+95.37+6.3+-8000-2721.8)*4.4847+5.3*3.2551+0.369*3.2551+20.55*4.4847+0.045+168-1894.7</f>
        <v>68473.40662590001</v>
      </c>
      <c r="F142" s="8">
        <f>65178.967126-1752+189.8</f>
        <v>63616.767126000006</v>
      </c>
      <c r="G142" s="8">
        <v>57718.15575500002</v>
      </c>
      <c r="H142" s="8">
        <f>(28127.8+0.84+466.4+68.16+4.71+-10750-5119.56)*4.4381+4.24*3.95515+0.23*3.9515+16.38*4.4381+0.045+34.43*3.9515</f>
        <v>57026.827038999996</v>
      </c>
      <c r="I142" s="8">
        <v>55241.6</v>
      </c>
      <c r="J142" s="8">
        <f>(27041.5+0.85+463.9+68.16+4.71+-9750-5142.45)*4.4198+3.68*3.9528+0.155*3.9528+16.38*4.4198+30.2*3.9528</f>
        <v>56279.473937999996</v>
      </c>
      <c r="K142" s="8">
        <f>(27102.7+0.83+456.3+68.16+4.71+-9750-5233.74)*4.4395+3.68*4.0409+0.155*4.0409+16.38*4.4198+30.2*4.0409</f>
        <v>56364.9862755</v>
      </c>
      <c r="L142" s="8">
        <v>58166.4</v>
      </c>
      <c r="M142" s="8">
        <f>(27320.1+429.2+54.38+4.02+-9250-5240.6)*4.407+3.68*4.0166+0.08*4.0166+16.38*4.407+28.45*4.0166</f>
        <v>58890.021046</v>
      </c>
      <c r="N142" s="8">
        <f>(27140.4+0.7+423.8+54.38+4.02+-9250-5125.97)*4.4321+3.68*3.9511+0.08*3.9511+16.38*4.4321+28.45*3.9511</f>
        <v>58913.354022000014</v>
      </c>
      <c r="O142" s="8">
        <v>57153.6</v>
      </c>
      <c r="P142" s="8">
        <f>(29170.3+428.7+54.38+4.01+-11250-5222)*4.4322+3.68*3.9346+0.08*3.9346+16.38*4.4322+16.93*3.9346</f>
        <v>58594.29186799999</v>
      </c>
      <c r="Q142" s="8">
        <f>(29345+425.7+54.38+4.01+-11250-5458.62)*4.446+3.68*4.1975+12.2*4.446+16.93*4.1975</f>
        <v>58474.361294999995</v>
      </c>
      <c r="R142" s="8">
        <v>58782.2</v>
      </c>
      <c r="S142" s="8">
        <f>(28609.64+650.8+470.1+-11250-5271.14)*4.5337+12.2*4.5337</f>
        <v>59942.767919999984</v>
      </c>
      <c r="T142" s="8">
        <f>(29840.3+653.1+466.6+-12500-5271.13)*4.4692+12.2*4.4692</f>
        <v>58998.22204399997</v>
      </c>
      <c r="U142" s="8">
        <v>57219.1</v>
      </c>
      <c r="V142" s="8">
        <f>(29482.8+641.1+457.1+-12500-5053.18)*4.4774+12.2*4.4774</f>
        <v>58385.38554799999</v>
      </c>
      <c r="W142" s="8">
        <f>(30537.8+638.3+450.8-13500-5160.66)*4.5115+12.2*4.5115</f>
        <v>58552.23205999999</v>
      </c>
      <c r="X142" s="8">
        <v>57208</v>
      </c>
      <c r="Y142" s="8">
        <f>(29626.5+427.9-12000-5176.9)*4.4654</f>
        <v>57503.188500000004</v>
      </c>
      <c r="Z142" s="8">
        <f>(29540.1+428-17157.4)*4.4535</f>
        <v>57052.45244999999</v>
      </c>
      <c r="AA142" s="8">
        <v>55515.9</v>
      </c>
      <c r="AB142" s="8">
        <f>(30491.5+421.1-18248.98)*4.5057</f>
        <v>57058.472634</v>
      </c>
      <c r="AC142" s="8">
        <f>(30601.9+419.6-18425.8)*4.5162</f>
        <v>56884.70034000001</v>
      </c>
      <c r="AD142" s="8">
        <v>55569.7</v>
      </c>
      <c r="AE142" s="8">
        <f>(30397.9+346.9-18371.33)*4.5038</f>
        <v>55727.634186</v>
      </c>
      <c r="AF142" s="8">
        <f>(30410.9+379.9-18425.32)*4.516</f>
        <v>55842.50768000002</v>
      </c>
      <c r="AG142" s="8">
        <v>54853.6</v>
      </c>
      <c r="AH142" s="8">
        <f>(31874.04+371.4-20007.86)*4.5333</f>
        <v>55476.621414</v>
      </c>
      <c r="AI142" s="8">
        <f>(31669.39+366-19888.79)*4.5702</f>
        <v>55512.39131999999</v>
      </c>
      <c r="AJ142" s="8">
        <v>53883</v>
      </c>
      <c r="AK142" s="8">
        <f>(31318.2+333.5-19651.96)*4.5598</f>
        <v>54716.41445200001</v>
      </c>
      <c r="AL142" s="8">
        <f>(31686.98+329.3-19591.64)*4.5906</f>
        <v>57036.552384</v>
      </c>
      <c r="AM142" s="8">
        <v>50657.9</v>
      </c>
      <c r="AN142" s="8">
        <f>(31580.41+327.15-20693.25)*4.5985</f>
        <v>51569.004535</v>
      </c>
      <c r="AO142" s="8">
        <f>(31430.792+317.4-20603.96)*4.6422</f>
        <v>51733.75379040001</v>
      </c>
      <c r="AP142" s="8">
        <v>50384</v>
      </c>
      <c r="AQ142" s="8">
        <f>(31039.5+298.6-20371.77)*4.6582</f>
        <v>51083.35840599999</v>
      </c>
      <c r="AR142" s="8">
        <f>(31087.34+2000+312.09-22452.73)*4.6625</f>
        <v>51038.98874999997</v>
      </c>
      <c r="AS142" s="8">
        <f>(31852.758+77.17-22413.99)*4.6576</f>
        <v>44321.432828799996</v>
      </c>
      <c r="AT142" s="8">
        <f>(31916.1+76.8-22499.1)*4.6589</f>
        <v>44230.66482</v>
      </c>
      <c r="AU142" s="8">
        <f>(32053.512+72.812+4.17-22664.95)*4.6485</f>
        <v>44000.58128399999</v>
      </c>
      <c r="AV142" s="8">
        <v>43885.1</v>
      </c>
      <c r="AW142" s="8">
        <f>(31267.036+70.77-21982.35)*4.6283</f>
        <v>43299.85700480001</v>
      </c>
      <c r="AX142" s="8">
        <f>(31242.499+70.8-22006.66)*4.644</f>
        <v>43220.031515999995</v>
      </c>
      <c r="AY142" s="8">
        <f>(31057.145+68.72-22042.9-4.17+2.18)*4.6637</f>
        <v>42350.9431075</v>
      </c>
      <c r="AZ142" s="8">
        <f>(32900.81+64.65-23923.12)*4.6668</f>
        <v>42198.792312000005</v>
      </c>
      <c r="BA142" s="8">
        <f>(32841.13+64.64-23917.7)*4.656</f>
        <v>41848.45391999998</v>
      </c>
      <c r="BB142" s="8">
        <f>(32827.99+58.37-0.09-23868.5)*4.6639</f>
        <v>42057.97750300002</v>
      </c>
      <c r="BC142" s="8">
        <f>(32814.079+58.273-23855.75)*4.7348</f>
        <v>42691.8071496</v>
      </c>
      <c r="BD142" s="8">
        <f>(32820.315+58.292-23892.48)*4.7416</f>
        <v>42608.61978320002</v>
      </c>
      <c r="BE142" s="8">
        <f>(32874.65+56.236-23986.18)*4.7628</f>
        <v>42601.845736799994</v>
      </c>
      <c r="BF142" s="8">
        <f>(34831.058+56.24-26992.85)*4.7582</f>
        <v>37563.36247359999</v>
      </c>
      <c r="BG142" s="8">
        <f>(34840.85+56.26-27026.18)*4.7487</f>
        <v>37376.685291</v>
      </c>
    </row>
    <row r="143" spans="1:59" ht="12.75">
      <c r="A143" s="60" t="s">
        <v>11</v>
      </c>
      <c r="B143" s="8">
        <v>0</v>
      </c>
      <c r="C143" s="8">
        <v>0</v>
      </c>
      <c r="D143" s="4">
        <v>0</v>
      </c>
      <c r="E143" s="8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  <c r="AZ143" s="8">
        <v>0</v>
      </c>
      <c r="BA143" s="8">
        <v>0</v>
      </c>
      <c r="BB143" s="8">
        <v>0</v>
      </c>
      <c r="BC143" s="8">
        <v>0</v>
      </c>
      <c r="BD143" s="8">
        <v>0</v>
      </c>
      <c r="BE143" s="8">
        <v>0</v>
      </c>
      <c r="BF143" s="8">
        <v>0</v>
      </c>
      <c r="BG143" s="8">
        <v>0</v>
      </c>
    </row>
    <row r="144" spans="1:59" ht="12.75">
      <c r="A144" s="21" t="s">
        <v>13</v>
      </c>
      <c r="B144" s="6"/>
      <c r="C144" s="6"/>
      <c r="D144" s="2"/>
      <c r="E144" s="6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8"/>
      <c r="AE144" s="7"/>
      <c r="AF144" s="7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1:61" ht="12.75">
      <c r="A145" s="21" t="s">
        <v>14</v>
      </c>
      <c r="B145" s="8">
        <v>7600.348751999998</v>
      </c>
      <c r="C145" s="8">
        <f>(174.5+1851.5-873.5)*4.3197</f>
        <v>4978.45425</v>
      </c>
      <c r="D145" s="4">
        <f>(169.6+2137.4-1412.2)*4.4287</f>
        <v>3962.80076</v>
      </c>
      <c r="E145" s="8">
        <f>(168.9+350.9+3774.5)*4.4847+E181</f>
        <v>19258.69221</v>
      </c>
      <c r="F145" s="8">
        <f>F160+F175</f>
        <v>21955.387566</v>
      </c>
      <c r="G145" s="8">
        <v>21959.138592</v>
      </c>
      <c r="H145" s="8">
        <f>(179.1+113.93+4663.02+63.36)*4.4381+H181</f>
        <v>22276.643521</v>
      </c>
      <c r="I145" s="8">
        <f>(179.7+131.97+4580.04+63.59)*4.4098+I181</f>
        <v>21851.88194</v>
      </c>
      <c r="J145" s="8">
        <f>(177.4+136.62+4630.33+63.33)*4.4198+J181</f>
        <v>22132.944064000003</v>
      </c>
      <c r="K145" s="8">
        <f>(175+110.18+4256.35+169.58)*4.4395+K181</f>
        <v>20914.972845</v>
      </c>
      <c r="L145" s="8">
        <f>(172.6+97.29+4135.61+149.52)*4.4735+L181</f>
        <v>20376.88197</v>
      </c>
      <c r="M145" s="8">
        <f>(174.5+35.99+4255.56+151.84)*4.407+M181</f>
        <v>20351.041230000003</v>
      </c>
      <c r="N145" s="8">
        <f>(171.8+65.83+4453.87+148.27)*4.4321+N181</f>
        <v>21450.344617000002</v>
      </c>
      <c r="O145" s="8">
        <f>(171.7+11.12+4555.33+149.4)*4.4167+O181</f>
        <v>21586.842084999997</v>
      </c>
      <c r="P145" s="8">
        <f>(169.1+13.3+4682.75+148.71)*4.4322+P181</f>
        <v>22222.430291999997</v>
      </c>
      <c r="Q145" s="8">
        <f>(167.2+25.4+4695.4+146.54)*4.446+Q181</f>
        <v>22383.56484</v>
      </c>
      <c r="R145" s="8">
        <f>(24.9+138.3+15.28+4408.35+141.08)*4.5245+R181</f>
        <v>21391.428795</v>
      </c>
      <c r="S145" s="8">
        <f>(23.8+138.3+20.39+4189.5+145.6)*4.5337+S181</f>
        <v>20481.397783</v>
      </c>
      <c r="T145" s="8">
        <f>(24.1+140.5+24.85+4594.89+146.88)*4.4692+T181</f>
        <v>22038.608424000002</v>
      </c>
      <c r="U145" s="8">
        <f>(24.1+138.6+17.25+4435.73+147.12)*4.4738+U181</f>
        <v>21307.814639999997</v>
      </c>
      <c r="V145" s="8">
        <f>(24.1+136.5+18.65+4547.81+148.77)*4.4774+V181</f>
        <v>21831.041242000007</v>
      </c>
      <c r="W145" s="8">
        <f>(22.9+135+20.69+4140.34+146.1)*4.5115+W181</f>
        <v>20143.982845000002</v>
      </c>
      <c r="X145" s="8">
        <f>(161.8+4229.9+146.37+24.07)*4.521+X181</f>
        <v>20625.434939999996</v>
      </c>
      <c r="Y145" s="8">
        <f>(163+4229.9+148.1+27.18)*4.4654+Y181</f>
        <v>20398.750972</v>
      </c>
      <c r="Z145" s="8">
        <f>(162+4815.88+144.36+100.54)*4.4535+Z181</f>
        <v>23259.650729999998</v>
      </c>
      <c r="AA145" s="8">
        <f>(160.1+4752.43+143.29+103.39)*4.4523+AA181</f>
        <v>22970.350683000004</v>
      </c>
      <c r="AB145" s="8">
        <f>(160.6+4672.47+141.26+96.51)*4.5057+AB181</f>
        <v>22847.683788000006</v>
      </c>
      <c r="AC145" s="8">
        <f>(125.5+4438.7+140.3+100.5)*4.5162+AC181</f>
        <v>21700.341</v>
      </c>
      <c r="AD145" s="8">
        <f>(102.6+4613.05+139.49+94.15)*4.5411+AD181</f>
        <v>22475.220819000002</v>
      </c>
      <c r="AE145" s="8">
        <f>(102.8+4498.06+140.62+95.63)*4.5038+AE181</f>
        <v>21785.376018000003</v>
      </c>
      <c r="AF145" s="8">
        <f>(102.5+4415.2+138.9+128.34)*4.516+AF181</f>
        <v>21608.78904</v>
      </c>
      <c r="AG145" s="8">
        <f>(100.26+4822.18+137.97)*4.5511+AG181</f>
        <v>23030.431951000002</v>
      </c>
      <c r="AH145" s="8">
        <f>(99.9+4963+138.56)*4.5333+AH181</f>
        <v>23579.778617999997</v>
      </c>
      <c r="AI145" s="8">
        <f>(97.8+5063.5+136.21)*4.5702+AI181</f>
        <v>24210.680202</v>
      </c>
      <c r="AJ145" s="8">
        <f>(101.04+5111.54+136.63)*4.5539+AJ181</f>
        <v>24359.767419</v>
      </c>
      <c r="AK145" s="8">
        <f>(100.9+5044.54+136.5)*4.5598+AK181</f>
        <v>24084.590011999997</v>
      </c>
      <c r="AL145" s="8">
        <f>(95.2+4906.31+134.43+98.2)*4.5906+AL181</f>
        <v>24027.843084000004</v>
      </c>
      <c r="AM145" s="8">
        <f>(95.64+5071.9+134.18+61.74)*4.5991+AM181</f>
        <v>24667.088886</v>
      </c>
      <c r="AN145" s="8">
        <f>(95.42+4886.06+134.08+62.71)*4.5985+AN181</f>
        <v>23812.274595</v>
      </c>
      <c r="AO145" s="8">
        <f>(95.32+4748.69+106.25+55.36)*4.6422+AO181</f>
        <v>23237.089163999994</v>
      </c>
      <c r="AP145" s="8">
        <f>(90.86+4967.95+84.08+68.65)*4.6597+AP181</f>
        <v>24284.212937999997</v>
      </c>
      <c r="AQ145" s="8">
        <f>(90.66+4881.71+84.07+42.18)*4.6582+AQ181</f>
        <v>23750.391684</v>
      </c>
      <c r="AR145" s="8">
        <f>(89.381+5040.25+84.02+40.66)*4.6625+AR181</f>
        <v>24498.2250375</v>
      </c>
      <c r="AS145" s="8">
        <f>(88.02+5080.77+84.11+86.74)*4.6576+AS181</f>
        <v>24869.907264000005</v>
      </c>
      <c r="AT145" s="8">
        <f>(102.41+5154.12+86.61+69.14)*4.6589+AT181</f>
        <v>25215.271291999998</v>
      </c>
      <c r="AU145" s="8">
        <f>(103.019+5187.54+81.49+53.26)*4.6485+AU181</f>
        <v>25219.548886500004</v>
      </c>
      <c r="AV145" s="8">
        <f>(106.013+5351.76+81.53+31.11)*4.6611+AV181</f>
        <v>25964.2520343</v>
      </c>
      <c r="AW145" s="8">
        <f>(106.534+5524.36+82.03+37.5)*4.6283+AW181</f>
        <v>26614.687399199996</v>
      </c>
      <c r="AX145" s="8">
        <f>(111.509+5576.52+81.74+11.05)*4.644+AX181</f>
        <v>26846.123436</v>
      </c>
      <c r="AY145" s="8">
        <f>(109.053+5748.56+81.51+6.45)*4.6637+AY181</f>
        <v>27728.368800100005</v>
      </c>
      <c r="AZ145" s="8">
        <f>(108.752+5993.31+81.43+6.67)*4.6668+AZ181</f>
        <v>28888.248021600008</v>
      </c>
      <c r="BA145" s="8">
        <f>(107.808+6087.89+81.63+9.62)*4.656+BA181</f>
        <v>29272.029888</v>
      </c>
      <c r="BB145" s="8">
        <f>(111.66+6511.67+81.3+33.16)*4.6639+BB181</f>
        <v>31424.378781</v>
      </c>
      <c r="BC145" s="8">
        <f>(111.625+6349.46+80.13+13.81)*4.7348+BC181</f>
        <v>31036.73237</v>
      </c>
      <c r="BD145" s="8">
        <f>(111.934+6432.44+80.24+3.8)*4.7416+BD181</f>
        <v>31429.287822399998</v>
      </c>
      <c r="BE145" s="8">
        <f>(104.602+5994.38+79.88+2.78)*4.7628+BE181</f>
        <v>29441.9245176</v>
      </c>
      <c r="BF145" s="8">
        <f>(106.904+5406.49+73.03+2.78)*4.7582+BF181</f>
        <v>26594.5504728</v>
      </c>
      <c r="BG145" s="8">
        <f>(106.13+5418.43+69.1+2.84)*4.7487+BG181</f>
        <v>26576.099550000006</v>
      </c>
      <c r="BI145" s="57">
        <f>BG145-BB145</f>
        <v>-4848.279230999993</v>
      </c>
    </row>
    <row r="146" spans="1:61" ht="12.75">
      <c r="A146" s="21" t="s">
        <v>15</v>
      </c>
      <c r="B146" s="7">
        <f>48930.78-337.647*4.2848</f>
        <v>47484.030134399996</v>
      </c>
      <c r="C146" s="7">
        <f>16355.2*4.3197-327.553*4.3197</f>
        <v>69234.62674590001</v>
      </c>
      <c r="D146" s="4">
        <f>(17326.7+108.75+440.1+1062.5-317.459)*4.4287</f>
        <v>82465.0113617</v>
      </c>
      <c r="E146" s="8">
        <f>(20409.5+6.3+95.17+20.55+385.8+959.9-2055.3+27.3-307.366)*4.4847</f>
        <v>87639.3526338</v>
      </c>
      <c r="F146" s="8">
        <f>F161+F176</f>
        <v>88412.8210818</v>
      </c>
      <c r="G146" s="8">
        <v>80407.44</v>
      </c>
      <c r="H146" s="8">
        <f>(21594.5+4.71+68.16+16.38+336.21-3749.05-124.55)*4.4381</f>
        <v>80535.360316</v>
      </c>
      <c r="I146" s="8">
        <f>(20568.9+4.71+67.98+16.38+334.1-3286.87-127.6)*4.4098+186.8</f>
        <v>77700.50048</v>
      </c>
      <c r="J146" s="8">
        <f>(20527.1+4.71+67.98+16.38+334.1-3143.8-127.1)*4.4198</f>
        <v>78139.279526</v>
      </c>
      <c r="K146" s="8">
        <f>(20524.5+4.71+68.16+16.38+329.6-3353.72-127.05)*4.4395</f>
        <v>77525.12391</v>
      </c>
      <c r="L146" s="8">
        <f>(20709.55+4.02+68.16+16.38+322-3329.04)*4.4735+168.4</f>
        <v>79756.75164499998</v>
      </c>
      <c r="M146" s="8">
        <f>(20748.1+4.02+54.38+16.38+317-3348.22)*4.407</f>
        <v>78407.84562</v>
      </c>
      <c r="N146" s="8">
        <f>(20721+4.02+54.38+16.38+317-3340.94)*4.4321</f>
        <v>78766.57206400002</v>
      </c>
      <c r="O146" s="8">
        <f>(20693+4.01+54.38+16.38+315-3502.76)*4.4167+166.3</f>
        <v>77811.930167</v>
      </c>
      <c r="P146" s="8">
        <f>(22675.2+4.01+54.38+16.38+312.3-3906.38)*4.4322</f>
        <v>84902.73565799999</v>
      </c>
      <c r="Q146" s="8">
        <f>(22643.7+4.01+54.38+12.2+307.8-3732.3)*4.446</f>
        <v>85762.40634</v>
      </c>
      <c r="R146" s="8">
        <f>(22284.6+514+3.2+40.8+12.2+302.8-3733.5-267.178)*4.5245+149</f>
        <v>86824.49358899999</v>
      </c>
      <c r="S146" s="8">
        <f>(22763.7+40.8+3.2+12.2+297.8-3871.19)*4.5337</f>
        <v>87257.90238700001</v>
      </c>
      <c r="T146" s="8">
        <f>(23461.3+512.6+295.2+3.2+40.8+12.2+-4826.83)*4.4692</f>
        <v>87142.562124</v>
      </c>
      <c r="U146" s="8">
        <f>(23434.5+509+293.1+3.2+40.8+12.2+-4669.73)*4.4738+147.4</f>
        <v>87937.09056599998</v>
      </c>
      <c r="V146" s="8">
        <f>(23398.3+504.6+293.1+3.2+40.8+12.2+-4766.6)*4.4774</f>
        <v>87244.82544</v>
      </c>
      <c r="W146" s="8">
        <f>(24374+503.3+288.6+3.2+40.7+12.2-4867.19)*4.5115</f>
        <v>91830.725315</v>
      </c>
      <c r="X146" s="8">
        <f>(23317.5+283.6+39.4-4367.47)*4.521+127.6</f>
        <v>87260.96863</v>
      </c>
      <c r="Y146" s="8">
        <f>(23264.6+278.6+39.4-4402.29)*4.4654</f>
        <v>85647.75627399998</v>
      </c>
      <c r="Z146" s="8">
        <f>(23217.2+2.3+278.6+39.4-4350.1)*4.4535</f>
        <v>85451.0859</v>
      </c>
      <c r="AA146" s="8">
        <f>(23181.7+2.3+276.5+41.54-4255.38)*4.4523+125.7</f>
        <v>85817.604318</v>
      </c>
      <c r="AB146" s="8">
        <f>(24147.8+276.5+41.84-4541.55)*4.5057</f>
        <v>89774.225163</v>
      </c>
      <c r="AC146" s="8">
        <f>(24115.3+272+41.5-4582.2)*4.5162</f>
        <v>89631.21492</v>
      </c>
      <c r="AD146" s="8">
        <f>AD161+AD176</f>
        <v>89546.08587859999</v>
      </c>
      <c r="AE146" s="8">
        <f>(24015.6+261.9+23-4623.24)*4.5038</f>
        <v>88622.44358800001</v>
      </c>
      <c r="AF146" s="8">
        <f>(23976.25+259.8+22.9-4677.5)*4.516</f>
        <v>88429.8282</v>
      </c>
      <c r="AG146" s="8">
        <f>(23963+257.71+22.9-4458.11)*4.5511+110.3</f>
        <v>90156.08905</v>
      </c>
      <c r="AH146" s="8">
        <f>(23962.41+1750+257.71+22.9-4768.02)*4.5333</f>
        <v>96219.2925</v>
      </c>
      <c r="AI146" s="8">
        <f>(25639.45+253.21+22.9-4688.97)*4.5702</f>
        <v>97009.76161799999</v>
      </c>
      <c r="AJ146" s="8">
        <f>(25619.9+248.16+8.4-4805.19)*4.5539+100.2</f>
        <v>96056.656453</v>
      </c>
      <c r="AK146" s="8">
        <f>(25568.7+243.2+8.8-4824.92)*4.5598</f>
        <v>95736.557644</v>
      </c>
      <c r="AL146" s="8">
        <f>(26029.49+241.06+8.8-4685.54)*4.5906</f>
        <v>99128.54418600001</v>
      </c>
      <c r="AM146" s="8">
        <f>(24881.12+238.96+8.8-4548.04)*4.5991+21.1+86.6</f>
        <v>94761.041244</v>
      </c>
      <c r="AN146" s="8">
        <f>(25852.72+238.96+8.8-4621.46)*4.5985</f>
        <v>98771.27347</v>
      </c>
      <c r="AO146" s="8">
        <f>(25810.61+234.46+4.95-4623.13)*4.6422</f>
        <v>99467.90875799999</v>
      </c>
      <c r="AP146" s="8">
        <f>(25712.61+230.61+4.17-4507.34-176.9)*4.6597+118.7</f>
        <v>99198.60005499999</v>
      </c>
      <c r="AQ146" s="8">
        <f>(25684.08+225.61+4.17-4539.62)*4.6582</f>
        <v>99565.48476800001</v>
      </c>
      <c r="AR146" s="8">
        <f>(27684.08+238.64-4700.69)*4.6625</f>
        <v>108272.714875</v>
      </c>
      <c r="AS146" s="8">
        <f>(26481.43+71-4720.02)*4.6576</f>
        <v>101686.63281600001</v>
      </c>
      <c r="AT146" s="8">
        <f>(26458.23+71-4732.98)*4.6589</f>
        <v>101546.549125</v>
      </c>
      <c r="AU146" s="8">
        <f>(26413.702+66.828+4.17-4869.54)*4.6485</f>
        <v>100478.07126000001</v>
      </c>
      <c r="AV146" s="8">
        <f>(24867.064+66.3-4274.94)*4.6611</f>
        <v>96290.9801064</v>
      </c>
      <c r="AW146" s="8">
        <f>(24821.956+66.29-4284.91)*4.6283</f>
        <v>95358.4200088</v>
      </c>
      <c r="AX146" s="8">
        <f>(24775.443+66.29-4312.42)*4.644</f>
        <v>95338.129572</v>
      </c>
      <c r="AY146" s="8">
        <f>(24587.185+64.19-4317.18-4.17+2.18)*4.6637</f>
        <v>94823.30445850002</v>
      </c>
      <c r="AZ146" s="8">
        <f>(26298.982+60.018-4702.19)*4.6668</f>
        <v>101068.00090800002</v>
      </c>
      <c r="BA146" s="8">
        <f>(26255.34+60.018-4751.18)*4.656</f>
        <v>100402.81276799999</v>
      </c>
      <c r="BB146" s="8">
        <f>(26281.66+55.312-0.089-4756.94)*4.6639</f>
        <v>100646.69615770002</v>
      </c>
      <c r="BC146" s="8">
        <f>(26280.695+55.223-5052.83)*4.7348</f>
        <v>100771.16506240002</v>
      </c>
      <c r="BD146" s="8">
        <f>(26265.613+55.223-4959.6)*4.7416</f>
        <v>101286.43661760002</v>
      </c>
      <c r="BE146" s="8">
        <f>(26252.123+53.118-4819.32)*4.7628</f>
        <v>102333.1445388</v>
      </c>
      <c r="BF146" s="8">
        <f>(28212.671+53.118-4926.532)*4.7582</f>
        <v>111052.8526574</v>
      </c>
      <c r="BG146" s="8">
        <f>(28184.278+53.118-4877.47)*4.7487</f>
        <v>110929.28059619998</v>
      </c>
      <c r="BI146" s="57">
        <f>BG146-BB146</f>
        <v>10282.584438499965</v>
      </c>
    </row>
    <row r="147" spans="1:61" ht="12.75">
      <c r="A147" s="21" t="s">
        <v>16</v>
      </c>
      <c r="B147" s="7">
        <f>6387.4-16.462*4.2848</f>
        <v>6316.863622399999</v>
      </c>
      <c r="C147" s="7">
        <f>(1201.4+82+6-15.463)*4.3197</f>
        <v>5503.025658900001</v>
      </c>
      <c r="D147" s="4">
        <f>(2707.9+51.8-13.699)*4.4287+(6.29+0.44)*3.3575</f>
        <v>12183.810603700002</v>
      </c>
      <c r="E147" s="8">
        <f>(3517+31.5+9.1-11.196)*4.4847+(5.3+0.369)*3.2551+168</f>
        <v>16091.011180700001</v>
      </c>
      <c r="F147" s="7">
        <f>F162+F177</f>
        <v>23038.4329785</v>
      </c>
      <c r="G147" s="7">
        <v>24405.041819000002</v>
      </c>
      <c r="H147" s="7">
        <f>(5887.6+13.3-382.63)*4.4381+(4.24+0.23+34.43)*3.9515</f>
        <v>24644.347437000004</v>
      </c>
      <c r="I147" s="7">
        <f>(6148.8+8.4-390.2)*4.4098+(4.24+0.155+30.2)*4.1115</f>
        <v>25573.5539425</v>
      </c>
      <c r="J147" s="7">
        <f>(5874.2+8.1-369)*4.4198+(3.68+0.155+30.2)*3.9528</f>
        <v>24502.216888000003</v>
      </c>
      <c r="K147" s="7">
        <f>(5951.3+6.7-365.42)*4.4395+(3.68+0.155+30.2)*4.0409</f>
        <v>24965.790941499996</v>
      </c>
      <c r="L147" s="7">
        <f>(5836.3+6.6-362.49)*4.4735+(3.68+0.155+28.45)*3.9969</f>
        <v>24645.6540515</v>
      </c>
      <c r="M147" s="7">
        <f>(5947.8+5.4-347.5)*4.407+(3.68+0.08+28.45)*4.0166</f>
        <v>24833.694585999998</v>
      </c>
      <c r="N147" s="7">
        <f>(5803+5.4-357.8)*4.4321+(3.68+0.08+28.45)*3.9511</f>
        <v>24284.869191</v>
      </c>
      <c r="O147" s="7">
        <f>(5782.9+12.1-404.45)*4.4167+(3.68+0.08+16.93)*3.9342</f>
        <v>23889.840783</v>
      </c>
      <c r="P147" s="7">
        <f>(5872.9+10.7-520.33)*4.4322+(3.68+0.08+16.93)*3.9346</f>
        <v>23852.492167999997</v>
      </c>
      <c r="Q147" s="7">
        <f>(6074.5+9.5-572.5)*4.446+(3.68+12.2)*4.1975</f>
        <v>24570.785299999996</v>
      </c>
      <c r="R147" s="7">
        <f>(5890.4+9.3-567.89-7.289)*4.5245+(3.1+22.5)*4.1477+10.48*4.1477</f>
        <v>24240.444280499996</v>
      </c>
      <c r="S147" s="7">
        <f>(5881.2+7.9-622.2)*4.5337+(3.1+22.5)*4.1525</f>
        <v>23984.848529999996</v>
      </c>
      <c r="T147" s="7">
        <f>(5873.5+7.9-685.6)*4.4692+(3.1+20.6)*4.097</f>
        <v>23318.16826</v>
      </c>
      <c r="U147" s="7">
        <f>(5618.5+2-749.6)*4.4738+(2.73+16.03)*4.4738</f>
        <v>21875.360908</v>
      </c>
      <c r="V147" s="7">
        <f>(5583+2-770)*4.4774+(2.22+16.01)*4.4774</f>
        <v>21640.304002</v>
      </c>
      <c r="W147" s="7">
        <f>(5673+2-791.96)*4.5115+(2.2+16.3)*4.5115</f>
        <v>22113.29771</v>
      </c>
      <c r="X147" s="7">
        <f>(5690.1+2+19.5-833.7)*4.521</f>
        <v>22052.985900000003</v>
      </c>
      <c r="Y147" s="7">
        <f>(5695.7+0.7+19.6-762.75)*4.4654</f>
        <v>22118.24255</v>
      </c>
      <c r="Z147" s="7">
        <f>(5659.4+0.7+19.5-736.1)*4.4535</f>
        <v>22015.877249999998</v>
      </c>
      <c r="AA147" s="7">
        <f>(5627.1+0.7+13.22-812.84)*4.4523</f>
        <v>21496.505814000004</v>
      </c>
      <c r="AB147" s="7">
        <f>(5727.15+0.75+12.94-856.13)*4.5057</f>
        <v>22009.037846999996</v>
      </c>
      <c r="AC147" s="7">
        <f>(5888.2+0.8+13.4-877.6)*4.5162</f>
        <v>22693.00176</v>
      </c>
      <c r="AD147" s="8">
        <f>(5904.7+0.8+11.8-785.03-5.415)*4.5411</f>
        <v>23281.561240500003</v>
      </c>
      <c r="AE147" s="7">
        <f>(5816.2+0.6+11.6-710.81)*4.5038</f>
        <v>23048.601842</v>
      </c>
      <c r="AF147" s="7">
        <f>(5862.1+11.7-671.62)*4.516</f>
        <v>23493.04488</v>
      </c>
      <c r="AG147" s="8">
        <f>(5800.49+11.6-639.78)*4.5511</f>
        <v>23539.700041</v>
      </c>
      <c r="AH147" s="8">
        <f>(5650.39+10.8-607.96)*4.5333</f>
        <v>22907.807559</v>
      </c>
      <c r="AI147" s="8">
        <f>(5493.56+10.6-605.33)*4.5702</f>
        <v>22388.632866000004</v>
      </c>
      <c r="AJ147" s="8">
        <f>(5382.06+8.8-597.34)*4.5539</f>
        <v>21829.210728000002</v>
      </c>
      <c r="AK147" s="8">
        <f>(5229.4+8.6-598.21)*4.5598</f>
        <v>21156.514442</v>
      </c>
      <c r="AL147" s="8">
        <f>(5151.92+8.6-601.16)*4.5906</f>
        <v>20930.198016000002</v>
      </c>
      <c r="AM147" s="8">
        <f>(5170.12+8.5-599.55)*4.5991</f>
        <v>21059.600836999998</v>
      </c>
      <c r="AN147" s="8">
        <f>(5231.33-1.8+8.1-614.55)*4.5985</f>
        <v>21259.233379999998</v>
      </c>
      <c r="AO147" s="8">
        <f>(5128-1.8+7.95-611.37)*4.6422</f>
        <v>20995.649316</v>
      </c>
      <c r="AP147" s="8">
        <f>(5069.44-1.8+6.4-624.09)*4.6597</f>
        <v>20735.432014999995</v>
      </c>
      <c r="AQ147" s="8">
        <f>(4875.39-1.7+6.16-636.38)*4.6582</f>
        <v>19766.931954</v>
      </c>
      <c r="AR147" s="8">
        <f>(4949.85+6.27-659.59)*4.6625</f>
        <v>20032.571125000002</v>
      </c>
      <c r="AS147" s="8">
        <f>(4893.71+6.2-663.18)*4.6576</f>
        <v>19732.993648</v>
      </c>
      <c r="AT147" s="8">
        <f>(4969.95+5.78-707.65)*4.6589</f>
        <v>19884.557912</v>
      </c>
      <c r="AU147" s="8">
        <f>(5137.625+5.983-756.8)*4.6485</f>
        <v>20392.076988</v>
      </c>
      <c r="AV147" s="8">
        <f>(5994.778+4.5-772.57)*4.6611</f>
        <v>24362.208658800002</v>
      </c>
      <c r="AW147" s="8">
        <f>(5949.723+4.48-774.54)*4.6283</f>
        <v>23973.0342629</v>
      </c>
      <c r="AX147" s="8">
        <f>(5965.869+4.49-807.71)*4.644</f>
        <v>23975.341955999997</v>
      </c>
      <c r="AY147" s="8">
        <f>(5987.295+4.53-838.61)*4.6637</f>
        <v>24033.048795500003</v>
      </c>
      <c r="AZ147" s="8">
        <f>(6110.197+4.628-898.1)*4.6668</f>
        <v>24345.412229999998</v>
      </c>
      <c r="BA147" s="8">
        <f>(6097.33+4.624-911.97)*4.656</f>
        <v>24164.565503999995</v>
      </c>
      <c r="BB147" s="8">
        <f>(6046+3.06-920.94)*4.6639</f>
        <v>23917.038868000003</v>
      </c>
      <c r="BC147" s="8">
        <f>(6028.749+3.05-928.19)*4.7348</f>
        <v>24164.5678932</v>
      </c>
      <c r="BD147" s="8">
        <f>(6057.468+3.069-932.57)*4.7416</f>
        <v>24314.768327200003</v>
      </c>
      <c r="BE147" s="8">
        <f>(6136.111+3.118-952.56)*4.7628</f>
        <v>24703.067113200002</v>
      </c>
      <c r="BF147" s="8">
        <f>(6131.251+3.122-964.32)*4.7582</f>
        <v>24600.146184600006</v>
      </c>
      <c r="BG147" s="8">
        <f>(6160.224+3.139-978.14)*4.7487</f>
        <v>24623.068460100003</v>
      </c>
      <c r="BI147" s="57">
        <f>BG147-BB147</f>
        <v>706.0295920999997</v>
      </c>
    </row>
    <row r="148" spans="1:61" ht="12.75">
      <c r="A148" s="21" t="s">
        <v>17</v>
      </c>
      <c r="B148" s="7">
        <v>14837.69</v>
      </c>
      <c r="C148" s="7">
        <f>C133-C145-C146-C147</f>
        <v>13155.677669</v>
      </c>
      <c r="D148" s="4">
        <f>D133-D145-D146-D147</f>
        <v>12647.321416100001</v>
      </c>
      <c r="E148" s="8">
        <f>E133-E145-E146-E147</f>
        <v>7155.254181399991</v>
      </c>
      <c r="F148" s="7">
        <f>F163+F178</f>
        <v>3248.9031857000155</v>
      </c>
      <c r="G148" s="7">
        <v>3362.675256000006</v>
      </c>
      <c r="H148" s="7">
        <f aca="true" t="shared" si="53" ref="H148:BC148">H133-H145-H146-H147</f>
        <v>2593.375448999999</v>
      </c>
      <c r="I148" s="7">
        <f t="shared" si="53"/>
        <v>1003.9636375000009</v>
      </c>
      <c r="J148" s="7">
        <f t="shared" si="53"/>
        <v>2588.323276000003</v>
      </c>
      <c r="K148" s="7">
        <f t="shared" si="53"/>
        <v>2542.2677540000077</v>
      </c>
      <c r="L148" s="7">
        <f t="shared" si="53"/>
        <v>841.5123335000026</v>
      </c>
      <c r="M148" s="7">
        <f t="shared" si="53"/>
        <v>2452.4955000000045</v>
      </c>
      <c r="N148" s="7">
        <f t="shared" si="53"/>
        <v>2423.029070000008</v>
      </c>
      <c r="O148" s="7">
        <f t="shared" si="53"/>
        <v>905.8869650000051</v>
      </c>
      <c r="P148" s="7">
        <f t="shared" si="53"/>
        <v>2476.7133599999943</v>
      </c>
      <c r="Q148" s="7">
        <f t="shared" si="53"/>
        <v>2411.8466349999726</v>
      </c>
      <c r="R148" s="7">
        <f t="shared" si="53"/>
        <v>613.1833355000017</v>
      </c>
      <c r="S148" s="7">
        <f t="shared" si="53"/>
        <v>2474.4140509999925</v>
      </c>
      <c r="T148" s="7">
        <f t="shared" si="53"/>
        <v>2588.488071999971</v>
      </c>
      <c r="U148" s="7">
        <f t="shared" si="53"/>
        <v>982.0588319999988</v>
      </c>
      <c r="V148" s="7">
        <f t="shared" si="53"/>
        <v>2584.1761839999854</v>
      </c>
      <c r="W148" s="7">
        <f t="shared" si="53"/>
        <v>2552.1555499999813</v>
      </c>
      <c r="X148" s="7">
        <f t="shared" si="53"/>
        <v>1258.7540100000006</v>
      </c>
      <c r="Y148" s="7">
        <f t="shared" si="53"/>
        <v>2879.7811140000085</v>
      </c>
      <c r="Z148" s="7">
        <f t="shared" si="53"/>
        <v>2623.2896399999954</v>
      </c>
      <c r="AA148" s="7">
        <f t="shared" si="53"/>
        <v>1212.521019000007</v>
      </c>
      <c r="AB148" s="7">
        <f t="shared" si="53"/>
        <v>2456.642810999987</v>
      </c>
      <c r="AC148" s="7">
        <f t="shared" si="53"/>
        <v>2550.749760000006</v>
      </c>
      <c r="AD148" s="8">
        <f>AD133-AD145-AD146-AD147</f>
        <v>1965.2320618999765</v>
      </c>
      <c r="AE148" s="7">
        <f t="shared" si="53"/>
        <v>2310.899779999996</v>
      </c>
      <c r="AF148" s="7">
        <f t="shared" si="53"/>
        <v>2508.8638000000064</v>
      </c>
      <c r="AG148" s="8">
        <f t="shared" si="53"/>
        <v>1584.8789580000048</v>
      </c>
      <c r="AH148" s="8">
        <f t="shared" si="53"/>
        <v>2405.958309000016</v>
      </c>
      <c r="AI148" s="8">
        <f t="shared" si="53"/>
        <v>2521.562147999979</v>
      </c>
      <c r="AJ148" s="8">
        <f t="shared" si="53"/>
        <v>1392.3653999999988</v>
      </c>
      <c r="AK148" s="8">
        <f t="shared" si="53"/>
        <v>2633.102108000021</v>
      </c>
      <c r="AL148" s="8">
        <f t="shared" si="53"/>
        <v>2209.088531999987</v>
      </c>
      <c r="AM148" s="8">
        <f t="shared" si="53"/>
        <v>971.6260540000148</v>
      </c>
      <c r="AN148" s="8">
        <f t="shared" si="53"/>
        <v>2179.826955000004</v>
      </c>
      <c r="AO148" s="8">
        <f t="shared" si="53"/>
        <v>2175.8084244000165</v>
      </c>
      <c r="AP148" s="8">
        <f t="shared" si="53"/>
        <v>1911.2549920000201</v>
      </c>
      <c r="AQ148" s="8">
        <f t="shared" si="53"/>
        <v>2113.5185039999924</v>
      </c>
      <c r="AR148" s="8">
        <f t="shared" si="53"/>
        <v>2010.605212499955</v>
      </c>
      <c r="AS148" s="8">
        <f t="shared" si="53"/>
        <v>1814.451916799986</v>
      </c>
      <c r="AT148" s="8">
        <f t="shared" si="53"/>
        <v>1796.1923059999863</v>
      </c>
      <c r="AU148" s="8">
        <f t="shared" si="53"/>
        <v>1855.5277994999778</v>
      </c>
      <c r="AV148" s="8">
        <f t="shared" si="53"/>
        <v>1851.5592004999853</v>
      </c>
      <c r="AW148" s="8">
        <f t="shared" si="53"/>
        <v>1799.5894909000126</v>
      </c>
      <c r="AX148" s="8">
        <f t="shared" si="53"/>
        <v>1809.8039520000093</v>
      </c>
      <c r="AY148" s="8">
        <f t="shared" si="53"/>
        <v>1276.0442844000027</v>
      </c>
      <c r="AZ148" s="8">
        <f t="shared" si="53"/>
        <v>1786.7917163999991</v>
      </c>
      <c r="BA148" s="8">
        <f t="shared" si="53"/>
        <v>1772.352959999993</v>
      </c>
      <c r="BB148" s="8">
        <f t="shared" si="53"/>
        <v>1812.704021299971</v>
      </c>
      <c r="BC148" s="8">
        <f t="shared" si="53"/>
        <v>1860.8237479999807</v>
      </c>
      <c r="BD148" s="8">
        <f>BD133-BD145-BD146-BD147</f>
        <v>1826.9384799999789</v>
      </c>
      <c r="BE148" s="8">
        <f>BE133-BE145-BE146-BE147</f>
        <v>1818.551347200013</v>
      </c>
      <c r="BF148" s="8">
        <f>BF133-BF145-BF146-BF147</f>
        <v>1809.229418799976</v>
      </c>
      <c r="BG148" s="8">
        <f>BG133-BG145-BG146-BG147</f>
        <v>1853.0899497000137</v>
      </c>
      <c r="BI148" s="57">
        <f>BG148-BB148</f>
        <v>40.38592840004276</v>
      </c>
    </row>
    <row r="149" spans="1:61" s="86" customFormat="1" ht="12.75">
      <c r="A149" s="155" t="s">
        <v>46</v>
      </c>
      <c r="B149" s="159">
        <f aca="true" t="shared" si="54" ref="B149:BC149">B164+B179</f>
        <v>71750.75</v>
      </c>
      <c r="C149" s="159">
        <f t="shared" si="54"/>
        <v>88792.73000000001</v>
      </c>
      <c r="D149" s="159">
        <f t="shared" si="54"/>
        <v>105468.18684000001</v>
      </c>
      <c r="E149" s="159">
        <f t="shared" si="54"/>
        <v>115139.7752059</v>
      </c>
      <c r="F149" s="159">
        <f t="shared" si="54"/>
        <v>131271.18481199996</v>
      </c>
      <c r="G149" s="159">
        <f t="shared" si="54"/>
        <v>128132.68518700002</v>
      </c>
      <c r="H149" s="159">
        <f t="shared" si="54"/>
        <v>127465.036723</v>
      </c>
      <c r="I149" s="159">
        <f t="shared" si="54"/>
        <v>119607.178702</v>
      </c>
      <c r="J149" s="159">
        <f t="shared" si="54"/>
        <v>121078.40375400001</v>
      </c>
      <c r="K149" s="159">
        <f t="shared" si="54"/>
        <v>122885.34984549998</v>
      </c>
      <c r="L149" s="159">
        <f t="shared" si="54"/>
        <v>119622.36771999998</v>
      </c>
      <c r="M149" s="159">
        <f t="shared" si="54"/>
        <v>122750.07693599997</v>
      </c>
      <c r="N149" s="159">
        <f t="shared" si="54"/>
        <v>122629.08494199999</v>
      </c>
      <c r="O149" s="159">
        <f t="shared" si="54"/>
        <v>119955.43497999999</v>
      </c>
      <c r="P149" s="159">
        <f t="shared" si="54"/>
        <v>130153.541478</v>
      </c>
      <c r="Q149" s="159">
        <f t="shared" si="54"/>
        <v>134060.893115</v>
      </c>
      <c r="R149" s="159">
        <f t="shared" si="54"/>
        <v>134523.34646</v>
      </c>
      <c r="S149" s="159">
        <f t="shared" si="54"/>
        <v>133697.442751</v>
      </c>
      <c r="T149" s="159">
        <f t="shared" si="54"/>
        <v>148579.37157199997</v>
      </c>
      <c r="U149" s="159">
        <f t="shared" si="54"/>
        <v>142768.724946</v>
      </c>
      <c r="V149" s="159">
        <f t="shared" si="54"/>
        <v>152991.64686800004</v>
      </c>
      <c r="W149" s="159">
        <f t="shared" si="54"/>
        <v>154429.16142</v>
      </c>
      <c r="X149" s="159">
        <f t="shared" si="54"/>
        <v>145347.27911000003</v>
      </c>
      <c r="Y149" s="159">
        <f t="shared" si="54"/>
        <v>151117.87556400005</v>
      </c>
      <c r="Z149" s="159">
        <f t="shared" si="54"/>
        <v>144206.648055</v>
      </c>
      <c r="AA149" s="159">
        <f t="shared" si="54"/>
        <v>145696.07006700002</v>
      </c>
      <c r="AB149" s="159">
        <f t="shared" si="54"/>
        <v>156088.132199</v>
      </c>
      <c r="AC149" s="159">
        <f t="shared" si="54"/>
        <v>158939.50743999996</v>
      </c>
      <c r="AD149" s="159">
        <f t="shared" si="54"/>
        <v>162076.138039</v>
      </c>
      <c r="AE149" s="159">
        <f t="shared" si="54"/>
        <v>159318.221228</v>
      </c>
      <c r="AF149" s="159">
        <f t="shared" si="54"/>
        <v>162074.37108000004</v>
      </c>
      <c r="AG149" s="159">
        <f t="shared" si="54"/>
        <v>165130.81526700003</v>
      </c>
      <c r="AH149" s="159">
        <f t="shared" si="54"/>
        <v>175960.436986</v>
      </c>
      <c r="AI149" s="159">
        <f t="shared" si="54"/>
        <v>177619.936834</v>
      </c>
      <c r="AJ149" s="159">
        <f t="shared" si="54"/>
        <v>172828.799357</v>
      </c>
      <c r="AK149" s="159">
        <f t="shared" si="54"/>
        <v>170763.801</v>
      </c>
      <c r="AL149" s="159">
        <f t="shared" si="54"/>
        <v>174643.67381799998</v>
      </c>
      <c r="AM149" s="159">
        <f t="shared" si="54"/>
        <v>171170.10702100006</v>
      </c>
      <c r="AN149" s="159">
        <f t="shared" si="54"/>
        <v>176667.40839999996</v>
      </c>
      <c r="AO149" s="159">
        <f t="shared" si="54"/>
        <v>178188.05566240003</v>
      </c>
      <c r="AP149" s="159">
        <f t="shared" si="54"/>
        <v>177681.48976199998</v>
      </c>
      <c r="AQ149" s="159">
        <f t="shared" si="54"/>
        <v>170192.673492</v>
      </c>
      <c r="AR149" s="159">
        <f t="shared" si="54"/>
        <v>183239.66962499992</v>
      </c>
      <c r="AS149" s="159">
        <f t="shared" si="54"/>
        <v>178285.08564480004</v>
      </c>
      <c r="AT149" s="159">
        <f t="shared" si="54"/>
        <v>180448.37063499997</v>
      </c>
      <c r="AU149" s="159">
        <f t="shared" si="54"/>
        <v>181374.82493399995</v>
      </c>
      <c r="AV149" s="159">
        <f t="shared" si="54"/>
        <v>182376.01177060005</v>
      </c>
      <c r="AW149" s="159">
        <f t="shared" si="54"/>
        <v>182175.63116180003</v>
      </c>
      <c r="AX149" s="159">
        <f t="shared" si="54"/>
        <v>187385.398916</v>
      </c>
      <c r="AY149" s="159">
        <f t="shared" si="54"/>
        <v>189934.96633850006</v>
      </c>
      <c r="AZ149" s="159">
        <f t="shared" si="54"/>
        <v>204848.15287599998</v>
      </c>
      <c r="BA149" s="159">
        <f t="shared" si="54"/>
        <v>202143.96111999993</v>
      </c>
      <c r="BB149" s="159">
        <f t="shared" si="54"/>
        <v>206570.05257300002</v>
      </c>
      <c r="BC149" s="159">
        <f t="shared" si="54"/>
        <v>205334.58907360001</v>
      </c>
      <c r="BD149" s="159">
        <f>BD164+BD179</f>
        <v>202605.43124720006</v>
      </c>
      <c r="BE149" s="159">
        <f>BE164+BE179</f>
        <v>205915.8875168</v>
      </c>
      <c r="BF149" s="159">
        <f>BF164+BF179</f>
        <v>209933.2787336</v>
      </c>
      <c r="BG149" s="159">
        <f>BG164+BG179</f>
        <v>216160.73855600005</v>
      </c>
      <c r="BH149" s="85"/>
      <c r="BI149" s="85"/>
    </row>
    <row r="150" spans="1:59" ht="30" customHeight="1">
      <c r="A150" s="62" t="s">
        <v>47</v>
      </c>
      <c r="B150" s="10">
        <f aca="true" t="shared" si="55" ref="B150:BC150">B155+B157</f>
        <v>70160.13955200001</v>
      </c>
      <c r="C150" s="10">
        <f t="shared" si="55"/>
        <v>87158.2899218</v>
      </c>
      <c r="D150" s="1">
        <f t="shared" si="55"/>
        <v>105264.5273015</v>
      </c>
      <c r="E150" s="10">
        <f t="shared" si="55"/>
        <v>123930.7133559</v>
      </c>
      <c r="F150" s="10">
        <f t="shared" si="55"/>
        <v>130333.72204600001</v>
      </c>
      <c r="G150" s="10">
        <f t="shared" si="55"/>
        <v>124104.22633100003</v>
      </c>
      <c r="H150" s="10">
        <f t="shared" si="55"/>
        <v>123868.29666200001</v>
      </c>
      <c r="I150" s="10">
        <f>I155+I157</f>
        <v>119931.46382199999</v>
      </c>
      <c r="J150" s="10">
        <f t="shared" si="55"/>
        <v>121180.87789</v>
      </c>
      <c r="K150" s="10">
        <f t="shared" si="55"/>
        <v>119280.8255605</v>
      </c>
      <c r="L150" s="10">
        <f t="shared" si="55"/>
        <v>120726.72925</v>
      </c>
      <c r="M150" s="10">
        <f t="shared" si="55"/>
        <v>121209.099556</v>
      </c>
      <c r="N150" s="10">
        <f t="shared" si="55"/>
        <v>121924.20947500003</v>
      </c>
      <c r="O150" s="10">
        <f t="shared" si="55"/>
        <v>119203.68398</v>
      </c>
      <c r="P150" s="10">
        <f t="shared" si="55"/>
        <v>128451.70301599998</v>
      </c>
      <c r="Q150" s="10">
        <f t="shared" si="55"/>
        <v>130150.23907499999</v>
      </c>
      <c r="R150" s="10">
        <f t="shared" si="55"/>
        <v>128022.5</v>
      </c>
      <c r="S150" s="10">
        <f t="shared" si="55"/>
        <v>129005.66277099997</v>
      </c>
      <c r="T150" s="10">
        <f t="shared" si="55"/>
        <v>130113.74135599995</v>
      </c>
      <c r="U150" s="10">
        <f t="shared" si="55"/>
        <v>127169.42358999999</v>
      </c>
      <c r="V150" s="10">
        <f t="shared" si="55"/>
        <v>128395.04175</v>
      </c>
      <c r="W150" s="10">
        <f t="shared" si="55"/>
        <v>131728.49136999997</v>
      </c>
      <c r="X150" s="10">
        <f t="shared" si="55"/>
        <v>126315.73474000001</v>
      </c>
      <c r="Y150" s="10">
        <f t="shared" si="55"/>
        <v>126201.84926400002</v>
      </c>
      <c r="Z150" s="10">
        <f t="shared" si="55"/>
        <v>128550.58924500001</v>
      </c>
      <c r="AA150" s="10">
        <f t="shared" si="55"/>
        <v>126749.08187000001</v>
      </c>
      <c r="AB150" s="10">
        <f t="shared" si="55"/>
        <v>132455.234382</v>
      </c>
      <c r="AC150" s="10">
        <f t="shared" si="55"/>
        <v>131964.26724000002</v>
      </c>
      <c r="AD150" s="10">
        <f>AD155+AD157</f>
        <v>132588.25284499998</v>
      </c>
      <c r="AE150" s="10">
        <f t="shared" si="55"/>
        <v>131327.835492</v>
      </c>
      <c r="AF150" s="10">
        <f t="shared" si="55"/>
        <v>131608.11708000003</v>
      </c>
      <c r="AG150" s="10">
        <f t="shared" si="55"/>
        <v>133897.04888800002</v>
      </c>
      <c r="AH150" s="10">
        <f t="shared" si="55"/>
        <v>140731.810533</v>
      </c>
      <c r="AI150" s="10">
        <f t="shared" si="55"/>
        <v>141800.143824</v>
      </c>
      <c r="AJ150" s="10">
        <f t="shared" si="55"/>
        <v>139232.055568</v>
      </c>
      <c r="AK150" s="10">
        <f t="shared" si="55"/>
        <v>139236.86725200003</v>
      </c>
      <c r="AL150" s="10">
        <f t="shared" si="55"/>
        <v>141907.656996</v>
      </c>
      <c r="AM150" s="10">
        <f t="shared" si="55"/>
        <v>137113.94337700005</v>
      </c>
      <c r="AN150" s="10">
        <f t="shared" si="55"/>
        <v>141639.96198999998</v>
      </c>
      <c r="AO150" s="10">
        <f t="shared" si="55"/>
        <v>141609.7632204</v>
      </c>
      <c r="AP150" s="10">
        <f t="shared" si="55"/>
        <v>141956.4</v>
      </c>
      <c r="AQ150" s="10">
        <f t="shared" si="55"/>
        <v>141125.57251199998</v>
      </c>
      <c r="AR150" s="10">
        <f t="shared" si="55"/>
        <v>150755.78299999994</v>
      </c>
      <c r="AS150" s="10">
        <f t="shared" si="55"/>
        <v>144093.27970880002</v>
      </c>
      <c r="AT150" s="10">
        <f t="shared" si="55"/>
        <v>144359.417497</v>
      </c>
      <c r="AU150" s="10">
        <f t="shared" si="55"/>
        <v>143923.39851600002</v>
      </c>
      <c r="AV150" s="10">
        <f t="shared" si="55"/>
        <v>144467.2502153</v>
      </c>
      <c r="AW150" s="10">
        <f t="shared" si="55"/>
        <v>143773.63616410003</v>
      </c>
      <c r="AX150" s="10">
        <f t="shared" si="55"/>
        <v>143972.01554400002</v>
      </c>
      <c r="AY150" s="10">
        <f t="shared" si="55"/>
        <v>143886.97214320002</v>
      </c>
      <c r="AZ150" s="10">
        <f t="shared" si="55"/>
        <v>152123.2549212</v>
      </c>
      <c r="BA150" s="10">
        <f t="shared" si="55"/>
        <v>151690.17993599997</v>
      </c>
      <c r="BB150" s="10">
        <f t="shared" si="55"/>
        <v>153818.67483600002</v>
      </c>
      <c r="BC150" s="10">
        <f t="shared" si="55"/>
        <v>153752.5069976</v>
      </c>
      <c r="BD150" s="10">
        <f>BD155+BD157</f>
        <v>154682.50934640004</v>
      </c>
      <c r="BE150" s="10">
        <f>BE155+BE157</f>
        <v>154186.8531084</v>
      </c>
      <c r="BF150" s="10">
        <f>BF155+BF157</f>
        <v>159990.14979619998</v>
      </c>
      <c r="BG150" s="10">
        <f>BG155+BG157</f>
        <v>159972.37260180002</v>
      </c>
    </row>
    <row r="151" spans="1:59" ht="23.25" customHeight="1">
      <c r="A151" s="21" t="s">
        <v>48</v>
      </c>
      <c r="B151" s="6"/>
      <c r="C151" s="6"/>
      <c r="D151" s="33"/>
      <c r="E151" s="6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8"/>
      <c r="AE151" s="7"/>
      <c r="AF151" s="7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1:59" ht="12.75">
      <c r="A152" s="21" t="s">
        <v>49</v>
      </c>
      <c r="B152" s="8">
        <v>6193.24992</v>
      </c>
      <c r="C152" s="8">
        <f aca="true" t="shared" si="56" ref="C152:H152">C156</f>
        <v>7998.010944</v>
      </c>
      <c r="D152" s="4">
        <f t="shared" si="56"/>
        <v>4616.47688</v>
      </c>
      <c r="E152" s="8">
        <f t="shared" si="56"/>
        <v>1573.68123</v>
      </c>
      <c r="F152" s="7">
        <f t="shared" si="56"/>
        <v>879.477662</v>
      </c>
      <c r="G152" s="7">
        <f t="shared" si="56"/>
        <v>380.26944</v>
      </c>
      <c r="H152" s="7">
        <f t="shared" si="56"/>
        <v>505.6327330000001</v>
      </c>
      <c r="I152" s="7">
        <f aca="true" t="shared" si="57" ref="I152:BD152">I156+I158</f>
        <v>581.9613059999999</v>
      </c>
      <c r="J152" s="7">
        <f t="shared" si="57"/>
        <v>603.8330760000001</v>
      </c>
      <c r="K152" s="7">
        <f t="shared" si="57"/>
        <v>489.14411</v>
      </c>
      <c r="L152" s="7">
        <f t="shared" si="57"/>
        <v>435.226815</v>
      </c>
      <c r="M152" s="7">
        <f t="shared" si="57"/>
        <v>158.60793</v>
      </c>
      <c r="N152" s="7">
        <f t="shared" si="57"/>
        <v>291.765143</v>
      </c>
      <c r="O152" s="7">
        <f t="shared" si="57"/>
        <v>49.11370399999999</v>
      </c>
      <c r="P152" s="7">
        <f t="shared" si="57"/>
        <v>58.948260000000005</v>
      </c>
      <c r="Q152" s="7">
        <f t="shared" si="57"/>
        <v>112.92839999999998</v>
      </c>
      <c r="R152" s="7">
        <f t="shared" si="57"/>
        <v>69.13435999999999</v>
      </c>
      <c r="S152" s="7">
        <f t="shared" si="57"/>
        <v>92.442143</v>
      </c>
      <c r="T152" s="7">
        <f t="shared" si="57"/>
        <v>111.05962</v>
      </c>
      <c r="U152" s="7">
        <f t="shared" si="57"/>
        <v>77.17304999999999</v>
      </c>
      <c r="V152" s="7">
        <f t="shared" si="57"/>
        <v>83.50351</v>
      </c>
      <c r="W152" s="7">
        <f t="shared" si="57"/>
        <v>93.342935</v>
      </c>
      <c r="X152" s="7">
        <f t="shared" si="57"/>
        <v>108.82047</v>
      </c>
      <c r="Y152" s="7">
        <f t="shared" si="57"/>
        <v>121.36957199999999</v>
      </c>
      <c r="Z152" s="7">
        <f t="shared" si="57"/>
        <v>447.75489000000005</v>
      </c>
      <c r="AA152" s="7">
        <f t="shared" si="57"/>
        <v>460.323297</v>
      </c>
      <c r="AB152" s="7">
        <f t="shared" si="57"/>
        <v>434.84510700000004</v>
      </c>
      <c r="AC152" s="7">
        <f t="shared" si="57"/>
        <v>454.01358600000003</v>
      </c>
      <c r="AD152" s="8">
        <f>AD156+AD158</f>
        <v>427.54456500000003</v>
      </c>
      <c r="AE152" s="7">
        <f t="shared" si="57"/>
        <v>430.698394</v>
      </c>
      <c r="AF152" s="7">
        <f t="shared" si="57"/>
        <v>579.58344</v>
      </c>
      <c r="AG152" s="8">
        <f t="shared" si="57"/>
        <v>413.285391</v>
      </c>
      <c r="AH152" s="8">
        <f t="shared" si="57"/>
        <v>178.61201999999997</v>
      </c>
      <c r="AI152" s="8">
        <f t="shared" si="57"/>
        <v>154.79267399999998</v>
      </c>
      <c r="AJ152" s="8">
        <f t="shared" si="57"/>
        <v>322.370581</v>
      </c>
      <c r="AK152" s="8">
        <f t="shared" si="57"/>
        <v>389.270126</v>
      </c>
      <c r="AL152" s="8">
        <f t="shared" si="57"/>
        <v>450.79692000000006</v>
      </c>
      <c r="AM152" s="8">
        <f t="shared" si="57"/>
        <v>283.948434</v>
      </c>
      <c r="AN152" s="8">
        <f t="shared" si="57"/>
        <v>288.37193499999995</v>
      </c>
      <c r="AO152" s="8">
        <f t="shared" si="57"/>
        <v>256.992192</v>
      </c>
      <c r="AP152" s="8">
        <f t="shared" si="57"/>
        <v>319.88840500000003</v>
      </c>
      <c r="AQ152" s="8">
        <f t="shared" si="57"/>
        <v>196.482876</v>
      </c>
      <c r="AR152" s="8">
        <f t="shared" si="57"/>
        <v>189.57724999999996</v>
      </c>
      <c r="AS152" s="8">
        <f t="shared" si="57"/>
        <v>404.000224</v>
      </c>
      <c r="AT152" s="8">
        <f t="shared" si="57"/>
        <v>322.116346</v>
      </c>
      <c r="AU152" s="8">
        <f t="shared" si="57"/>
        <v>248.133014</v>
      </c>
      <c r="AV152" s="8">
        <f t="shared" si="57"/>
        <v>145.006821</v>
      </c>
      <c r="AW152" s="8">
        <f t="shared" si="57"/>
        <v>173.56125</v>
      </c>
      <c r="AX152" s="8">
        <f t="shared" si="57"/>
        <v>53.406</v>
      </c>
      <c r="AY152" s="8">
        <f t="shared" si="57"/>
        <v>30.080865000000003</v>
      </c>
      <c r="AZ152" s="8">
        <f t="shared" si="57"/>
        <v>31.127556000000002</v>
      </c>
      <c r="BA152" s="8">
        <f t="shared" si="57"/>
        <v>44.79071999999999</v>
      </c>
      <c r="BB152" s="8">
        <f t="shared" si="57"/>
        <v>154.654924</v>
      </c>
      <c r="BC152" s="8">
        <f t="shared" si="57"/>
        <v>65.38758800000001</v>
      </c>
      <c r="BD152" s="8">
        <f t="shared" si="57"/>
        <v>18.018079999999998</v>
      </c>
      <c r="BE152" s="8">
        <f>BE156+BE158</f>
        <v>13.240584</v>
      </c>
      <c r="BF152" s="8">
        <f>BF156+BF158</f>
        <v>13.227796</v>
      </c>
      <c r="BG152" s="8">
        <f>BG156+BG158</f>
        <v>13.486308000000001</v>
      </c>
    </row>
    <row r="153" spans="1:59" ht="12.75">
      <c r="A153" s="21" t="s">
        <v>50</v>
      </c>
      <c r="B153" s="8">
        <v>66243.38963199999</v>
      </c>
      <c r="C153" s="8">
        <f>C138-C165</f>
        <v>79160.10618980002</v>
      </c>
      <c r="D153" s="4">
        <f aca="true" t="shared" si="58" ref="D153:BE153">D138-D165-D181</f>
        <v>100648.0504215</v>
      </c>
      <c r="E153" s="8">
        <f t="shared" si="58"/>
        <v>122357.03212589999</v>
      </c>
      <c r="F153" s="7">
        <f t="shared" si="58"/>
        <v>129454.24438400002</v>
      </c>
      <c r="G153" s="7">
        <f t="shared" si="58"/>
        <v>123580.46737100002</v>
      </c>
      <c r="H153" s="7">
        <f t="shared" si="58"/>
        <v>123362.663929</v>
      </c>
      <c r="I153" s="7">
        <f t="shared" si="58"/>
        <v>119349.523814</v>
      </c>
      <c r="J153" s="7">
        <f t="shared" si="58"/>
        <v>120577.04481400001</v>
      </c>
      <c r="K153" s="7">
        <f t="shared" si="58"/>
        <v>118791.6370555</v>
      </c>
      <c r="L153" s="7">
        <f t="shared" si="58"/>
        <v>120291.47471499999</v>
      </c>
      <c r="M153" s="7">
        <f t="shared" si="58"/>
        <v>121050.491626</v>
      </c>
      <c r="N153" s="7">
        <f t="shared" si="58"/>
        <v>121632.44433200003</v>
      </c>
      <c r="O153" s="7">
        <f t="shared" si="58"/>
        <v>119154.515296</v>
      </c>
      <c r="P153" s="7">
        <f t="shared" si="58"/>
        <v>128392.75475599998</v>
      </c>
      <c r="Q153" s="7">
        <f t="shared" si="58"/>
        <v>130037.31067499997</v>
      </c>
      <c r="R153" s="7">
        <f>R138-R165-R181</f>
        <v>127953.39918</v>
      </c>
      <c r="S153" s="7">
        <f t="shared" si="58"/>
        <v>128913.220628</v>
      </c>
      <c r="T153" s="7">
        <f t="shared" si="58"/>
        <v>130002.63704399999</v>
      </c>
      <c r="U153" s="7">
        <f t="shared" si="58"/>
        <v>127092.25053999996</v>
      </c>
      <c r="V153" s="7">
        <f t="shared" si="58"/>
        <v>128311.53823999998</v>
      </c>
      <c r="W153" s="7">
        <f t="shared" si="58"/>
        <v>131635.148435</v>
      </c>
      <c r="X153" s="7">
        <f t="shared" si="58"/>
        <v>126206.77863999999</v>
      </c>
      <c r="Y153" s="7">
        <f t="shared" si="58"/>
        <v>126080.43503800001</v>
      </c>
      <c r="Z153" s="7">
        <f t="shared" si="58"/>
        <v>128102.78981999998</v>
      </c>
      <c r="AA153" s="7">
        <f t="shared" si="58"/>
        <v>126288.77034000002</v>
      </c>
      <c r="AB153" s="7">
        <f t="shared" si="58"/>
        <v>132026.246685</v>
      </c>
      <c r="AC153" s="7">
        <f t="shared" si="58"/>
        <v>131510.25365400003</v>
      </c>
      <c r="AD153" s="8">
        <f>AD138-AD165-AD181</f>
        <v>132160.770241</v>
      </c>
      <c r="AE153" s="7">
        <f t="shared" si="58"/>
        <v>130897.137098</v>
      </c>
      <c r="AF153" s="7">
        <f t="shared" si="58"/>
        <v>131028.48848000003</v>
      </c>
      <c r="AG153" s="8">
        <f t="shared" si="58"/>
        <v>133483.74823</v>
      </c>
      <c r="AH153" s="8">
        <f t="shared" si="58"/>
        <v>140553.198513</v>
      </c>
      <c r="AI153" s="8">
        <f t="shared" si="58"/>
        <v>141645.35114999997</v>
      </c>
      <c r="AJ153" s="8">
        <f>AJ138-AJ165-AJ181</f>
        <v>138909.68563</v>
      </c>
      <c r="AK153" s="8">
        <f t="shared" si="58"/>
        <v>138847.46033200005</v>
      </c>
      <c r="AL153" s="8">
        <f t="shared" si="58"/>
        <v>141456.860076</v>
      </c>
      <c r="AM153" s="8">
        <f t="shared" si="58"/>
        <v>136829.99494300003</v>
      </c>
      <c r="AN153" s="8">
        <f t="shared" si="58"/>
        <v>141351.590055</v>
      </c>
      <c r="AO153" s="8">
        <f t="shared" si="58"/>
        <v>141352.7710284</v>
      </c>
      <c r="AP153" s="8">
        <f t="shared" si="58"/>
        <v>141636.62183299998</v>
      </c>
      <c r="AQ153" s="8">
        <f t="shared" si="58"/>
        <v>140929.043054</v>
      </c>
      <c r="AR153" s="8">
        <f t="shared" si="58"/>
        <v>150566.25237499995</v>
      </c>
      <c r="AS153" s="8">
        <f t="shared" si="58"/>
        <v>143689.2794848</v>
      </c>
      <c r="AT153" s="8">
        <f t="shared" si="58"/>
        <v>144037.301151</v>
      </c>
      <c r="AU153" s="8">
        <f t="shared" si="58"/>
        <v>143675.265502</v>
      </c>
      <c r="AV153" s="8">
        <f t="shared" si="58"/>
        <v>144322.3316237</v>
      </c>
      <c r="AW153" s="8">
        <f t="shared" si="58"/>
        <v>143600.0749141</v>
      </c>
      <c r="AX153" s="8">
        <f t="shared" si="58"/>
        <v>143918.609544</v>
      </c>
      <c r="AY153" s="8">
        <f t="shared" si="58"/>
        <v>143856.89127820003</v>
      </c>
      <c r="AZ153" s="8">
        <f t="shared" si="58"/>
        <v>152092.12736520002</v>
      </c>
      <c r="BA153" s="8">
        <f t="shared" si="58"/>
        <v>151645.38921599998</v>
      </c>
      <c r="BB153" s="8">
        <f t="shared" si="58"/>
        <v>153663.985167</v>
      </c>
      <c r="BC153" s="8">
        <f t="shared" si="58"/>
        <v>153687.11940959998</v>
      </c>
      <c r="BD153" s="8">
        <f t="shared" si="58"/>
        <v>154664.4912664</v>
      </c>
      <c r="BE153" s="8">
        <f t="shared" si="58"/>
        <v>154173.6125244</v>
      </c>
      <c r="BF153" s="8">
        <f>BF138-BF165-BF181</f>
        <v>159976.9220002</v>
      </c>
      <c r="BG153" s="8">
        <f>BG138-BG165-BG181</f>
        <v>159958.88629380002</v>
      </c>
    </row>
    <row r="154" spans="1:59" ht="12.75">
      <c r="A154" s="21" t="s">
        <v>51</v>
      </c>
      <c r="B154" s="8"/>
      <c r="C154" s="8"/>
      <c r="D154" s="5"/>
      <c r="E154" s="8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8"/>
      <c r="AE154" s="7"/>
      <c r="AF154" s="7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1:59" ht="12.75">
      <c r="A155" s="21" t="s">
        <v>27</v>
      </c>
      <c r="B155" s="8">
        <v>16652.01824</v>
      </c>
      <c r="C155" s="8">
        <f>(3950+2322.84-806.1)*4.3197</f>
        <v>23614.676778</v>
      </c>
      <c r="D155" s="4">
        <f>(5500+1705.8+3199.9-1307.9)*4.4287</f>
        <v>40291.42686000001</v>
      </c>
      <c r="E155" s="8">
        <f>(7500+2721.8+5084.9-1961.2)*4.4847</f>
        <v>59850.56384999999</v>
      </c>
      <c r="F155" s="7">
        <v>71100.00051</v>
      </c>
      <c r="G155" s="7">
        <v>70480.63065600001</v>
      </c>
      <c r="H155" s="7">
        <f>(10250+5119.56+113.93+531.34)*4.4381</f>
        <v>71075.41702300002</v>
      </c>
      <c r="I155" s="7">
        <v>68965.65</v>
      </c>
      <c r="J155" s="7">
        <f>(9250+5142.45+136.62+1117.57)*4.4198</f>
        <v>69155.01947200001</v>
      </c>
      <c r="K155" s="7">
        <f>(9250+5233.74+110.18+537.21)*4.4395</f>
        <v>67174.651635</v>
      </c>
      <c r="L155" s="7">
        <v>66785.55</v>
      </c>
      <c r="M155" s="7">
        <f>(9250+5240.6+559.84+35.99)*4.407</f>
        <v>66485.89701</v>
      </c>
      <c r="N155" s="7">
        <f>(9250+5125.97+755.13+65.83)*4.4321</f>
        <v>67354.31345300001</v>
      </c>
      <c r="O155" s="7">
        <v>66381.1</v>
      </c>
      <c r="P155" s="7">
        <f>(11250+5222+256.04+13.3)*4.4322</f>
        <v>74200.967148</v>
      </c>
      <c r="Q155" s="7">
        <f>(11250+5428.62+390.61+25.4)*4.446</f>
        <v>76002.72498</v>
      </c>
      <c r="R155" s="7">
        <v>73649</v>
      </c>
      <c r="S155" s="7">
        <f>(11250+5266.53-303.89+20.39)*4.5337</f>
        <v>73595.68811099998</v>
      </c>
      <c r="T155" s="7">
        <f>(12500+5271.13-917.52+24.85)*4.4692</f>
        <v>75433.21343199999</v>
      </c>
      <c r="U155" s="7">
        <f>(12500+5057.37-983.57+17.25)*4.4738</f>
        <v>74225.03949</v>
      </c>
      <c r="V155" s="7">
        <f>(12500+5053.18-988.8+18.65)*4.4774</f>
        <v>74248.85852200001</v>
      </c>
      <c r="W155" s="7">
        <f>(13500+5160.66-1518.81+20.69)*4.5115</f>
        <v>77428.79920999998</v>
      </c>
      <c r="X155" s="7">
        <f>(12000+5166.7-971.23+24.07)*4.521</f>
        <v>73328.54034</v>
      </c>
      <c r="Y155" s="7">
        <f>(12000+5176.9-883.02+27.18)*4.4654</f>
        <v>72880.06132400001</v>
      </c>
      <c r="Z155" s="7">
        <f>(17157.4-270.27+100.54)*4.4535</f>
        <v>75654.58834500001</v>
      </c>
      <c r="AA155" s="7">
        <v>75343.1</v>
      </c>
      <c r="AB155" s="7">
        <f>(18248.98-725.5+95.51)*4.5057</f>
        <v>79385.88324299999</v>
      </c>
      <c r="AC155" s="7">
        <f>(18425.8-1021.13+100.53)*4.5162</f>
        <v>79056.98423999999</v>
      </c>
      <c r="AD155" s="8">
        <v>81064.9</v>
      </c>
      <c r="AE155" s="7">
        <f>(18371.33-835.99+95.63)*4.5038</f>
        <v>79406.36268600001</v>
      </c>
      <c r="AF155" s="7">
        <f>(18425.33-933.92+128.34)*4.516</f>
        <v>79570.79100000001</v>
      </c>
      <c r="AG155" s="8">
        <v>82829.6</v>
      </c>
      <c r="AH155" s="8">
        <f>(20007.86-412.98+39.4)*4.5333</f>
        <v>89008.08152400001</v>
      </c>
      <c r="AI155" s="8">
        <f>(19888.79-230.8+33.87)*4.5702</f>
        <v>89995.738572</v>
      </c>
      <c r="AJ155" s="8">
        <v>89132.8</v>
      </c>
      <c r="AK155" s="8">
        <f>(19651.98-378.59+85.37)*4.5598</f>
        <v>88272.073848</v>
      </c>
      <c r="AL155" s="8">
        <f>(19591.64-380.38+98.2)*4.5906</f>
        <v>88642.007076</v>
      </c>
      <c r="AM155" s="8">
        <f>(19623.08-75.69+61.74)*4.5991</f>
        <v>90184.34978300003</v>
      </c>
      <c r="AN155" s="8">
        <f>(20693.25-349.95+62.71)*4.5985</f>
        <v>93837.03698499998</v>
      </c>
      <c r="AO155" s="8">
        <f>(20603.96-485.81+55.36)*4.6422</f>
        <v>93649.46812199999</v>
      </c>
      <c r="AP155" s="8">
        <v>95334.5</v>
      </c>
      <c r="AQ155" s="8">
        <f>(20371.77-294.29+42.18)*4.6582</f>
        <v>93721.400212</v>
      </c>
      <c r="AR155" s="8">
        <f>(22452.73-320.02+40.66)*4.6625</f>
        <v>103383.33762499999</v>
      </c>
      <c r="AS155" s="8">
        <f>(22413.99-302.43+86.74)*4.6576</f>
        <v>103390.80208000002</v>
      </c>
      <c r="AT155" s="8">
        <f>(22499.1-286.5+69.14)*4.6589</f>
        <v>103808.39848599999</v>
      </c>
      <c r="AU155" s="8">
        <f>(22664.95-438.8+53.26)*4.6485</f>
        <v>103565.837385</v>
      </c>
      <c r="AV155" s="8">
        <f>(22020.756+304.25+31.11)*4.6611-0.3</f>
        <v>104203.79228760001</v>
      </c>
      <c r="AW155" s="8">
        <f>(21982.35+464.91+37.5)*4.6283</f>
        <v>104066.214708</v>
      </c>
      <c r="AX155" s="8">
        <f>(22006.66+456.4+11.05)*4.644</f>
        <v>104369.76684000001</v>
      </c>
      <c r="AY155" s="8">
        <f>(22042.9+492.77+6.45)*4.6637</f>
        <v>105129.68504400003</v>
      </c>
      <c r="AZ155" s="8">
        <f>(23923.12+393.01+6.67)*4.6668</f>
        <v>113509.64303999998</v>
      </c>
      <c r="BA155" s="8">
        <f>(23917.7+424.75+9.62)*4.656</f>
        <v>113383.23791999999</v>
      </c>
      <c r="BB155" s="8">
        <v>115363.7</v>
      </c>
      <c r="BC155" s="8">
        <f>(23855.75+368.44+13.81)*4.7348</f>
        <v>114762.0824</v>
      </c>
      <c r="BD155" s="8">
        <f>(23892.48+540.27+3.8)*4.7416</f>
        <v>115868.34548</v>
      </c>
      <c r="BE155" s="8">
        <f>(23986.18+222.51+2.78)*4.7628</f>
        <v>115314.389316</v>
      </c>
      <c r="BF155" s="8">
        <f>(26992.85-484.36+2.78)*4.7582</f>
        <v>126145.924914</v>
      </c>
      <c r="BG155" s="8">
        <f>(27026.18-437.17+2.84)*4.7487</f>
        <v>126276.71809500002</v>
      </c>
    </row>
    <row r="156" spans="1:59" ht="12.75">
      <c r="A156" s="60" t="s">
        <v>11</v>
      </c>
      <c r="B156" s="8">
        <v>6193.24992</v>
      </c>
      <c r="C156" s="8">
        <f>1851.52*4.3197</f>
        <v>7998.010944</v>
      </c>
      <c r="D156" s="4">
        <f>1042.4*4.4287</f>
        <v>4616.47688</v>
      </c>
      <c r="E156" s="8">
        <f>350.9*4.4847</f>
        <v>1573.68123</v>
      </c>
      <c r="F156" s="7">
        <v>879.477662</v>
      </c>
      <c r="G156" s="7">
        <v>380.26944</v>
      </c>
      <c r="H156" s="7">
        <f>113.93*4.4381</f>
        <v>505.6327330000001</v>
      </c>
      <c r="I156" s="7">
        <f>131.97*4.4098</f>
        <v>581.9613059999999</v>
      </c>
      <c r="J156" s="7">
        <f>136.62*4.4198</f>
        <v>603.8330760000001</v>
      </c>
      <c r="K156" s="7">
        <f>110.18*4.4395</f>
        <v>489.14411</v>
      </c>
      <c r="L156" s="7">
        <f>97.29*4.4735</f>
        <v>435.226815</v>
      </c>
      <c r="M156" s="7">
        <f>35.99*4.407</f>
        <v>158.60793</v>
      </c>
      <c r="N156" s="7">
        <f>65.83*4.4321</f>
        <v>291.765143</v>
      </c>
      <c r="O156" s="7">
        <f>11.12*4.4167</f>
        <v>49.11370399999999</v>
      </c>
      <c r="P156" s="7">
        <f>13.3*4.4322</f>
        <v>58.948260000000005</v>
      </c>
      <c r="Q156" s="7">
        <f>25.4*4.446</f>
        <v>112.92839999999998</v>
      </c>
      <c r="R156" s="7">
        <f>15.28*4.5245</f>
        <v>69.13435999999999</v>
      </c>
      <c r="S156" s="7">
        <f>20.39*4.5337</f>
        <v>92.442143</v>
      </c>
      <c r="T156" s="7">
        <f>24.85*4.4692</f>
        <v>111.05962</v>
      </c>
      <c r="U156" s="7">
        <f>17.25*4.4738</f>
        <v>77.17304999999999</v>
      </c>
      <c r="V156" s="7">
        <f>18.65*4.4774</f>
        <v>83.50351</v>
      </c>
      <c r="W156" s="7">
        <f>20.69*4.5115</f>
        <v>93.342935</v>
      </c>
      <c r="X156" s="7">
        <f>24.07*4.521</f>
        <v>108.82047</v>
      </c>
      <c r="Y156" s="7">
        <f>27.18*4.4654</f>
        <v>121.36957199999999</v>
      </c>
      <c r="Z156" s="7">
        <f>100.54*4.4535</f>
        <v>447.75489000000005</v>
      </c>
      <c r="AA156" s="7">
        <f>103.39*4.4523</f>
        <v>460.323297</v>
      </c>
      <c r="AB156" s="7">
        <f>96.51*4.5057</f>
        <v>434.84510700000004</v>
      </c>
      <c r="AC156" s="7">
        <f>100.53*4.5162</f>
        <v>454.01358600000003</v>
      </c>
      <c r="AD156" s="8">
        <f>94.15*4.5411</f>
        <v>427.54456500000003</v>
      </c>
      <c r="AE156" s="7">
        <f>95.63*4.5038</f>
        <v>430.698394</v>
      </c>
      <c r="AF156" s="7">
        <f>128.34*4.516</f>
        <v>579.58344</v>
      </c>
      <c r="AG156" s="8">
        <f>90.81*4.5511</f>
        <v>413.285391</v>
      </c>
      <c r="AH156" s="8">
        <f>39.4*4.5333</f>
        <v>178.61201999999997</v>
      </c>
      <c r="AI156" s="8">
        <f>33.87*4.5702</f>
        <v>154.79267399999998</v>
      </c>
      <c r="AJ156" s="8">
        <f>70.79*4.5539</f>
        <v>322.370581</v>
      </c>
      <c r="AK156" s="8">
        <f>85.37*4.5598</f>
        <v>389.270126</v>
      </c>
      <c r="AL156" s="8">
        <f>98.2*4.5906</f>
        <v>450.79692000000006</v>
      </c>
      <c r="AM156" s="8">
        <f>61.74*4.5991</f>
        <v>283.948434</v>
      </c>
      <c r="AN156" s="8">
        <f>62.71*4.5985</f>
        <v>288.37193499999995</v>
      </c>
      <c r="AO156" s="8">
        <f>55.36*4.6422</f>
        <v>256.992192</v>
      </c>
      <c r="AP156" s="8">
        <f>68.65*4.6597</f>
        <v>319.88840500000003</v>
      </c>
      <c r="AQ156" s="8">
        <f>42.18*4.6582</f>
        <v>196.482876</v>
      </c>
      <c r="AR156" s="8">
        <f>40.66*4.6625</f>
        <v>189.57724999999996</v>
      </c>
      <c r="AS156" s="8">
        <f>86.74*4.6576</f>
        <v>404.000224</v>
      </c>
      <c r="AT156" s="8">
        <f>69.14*4.6589</f>
        <v>322.116346</v>
      </c>
      <c r="AU156" s="8">
        <f>53.26*4.6589</f>
        <v>248.133014</v>
      </c>
      <c r="AV156" s="8">
        <f>31.11*4.6611</f>
        <v>145.006821</v>
      </c>
      <c r="AW156" s="8">
        <f>37.5*4.6283</f>
        <v>173.56125</v>
      </c>
      <c r="AX156" s="8">
        <f>11.5*4.644</f>
        <v>53.406</v>
      </c>
      <c r="AY156" s="8">
        <f>6.45*4.6637</f>
        <v>30.080865000000003</v>
      </c>
      <c r="AZ156" s="8">
        <f>6.67*4.6668</f>
        <v>31.127556000000002</v>
      </c>
      <c r="BA156" s="8">
        <f>9.62*4.656</f>
        <v>44.79071999999999</v>
      </c>
      <c r="BB156" s="8">
        <f>33.16*4.6639</f>
        <v>154.654924</v>
      </c>
      <c r="BC156" s="8">
        <f>13.81*4.7348</f>
        <v>65.38758800000001</v>
      </c>
      <c r="BD156" s="8">
        <f>3.8*4.7416</f>
        <v>18.018079999999998</v>
      </c>
      <c r="BE156" s="8">
        <f>2.78*4.7628</f>
        <v>13.240584</v>
      </c>
      <c r="BF156" s="8">
        <f>2.78*4.7582</f>
        <v>13.227796</v>
      </c>
      <c r="BG156" s="8">
        <f>2.84*4.7487</f>
        <v>13.486308000000001</v>
      </c>
    </row>
    <row r="157" spans="1:59" ht="12.75">
      <c r="A157" s="21" t="s">
        <v>52</v>
      </c>
      <c r="B157" s="8">
        <f>55784.621312-2276.5</f>
        <v>53508.121312</v>
      </c>
      <c r="C157" s="8">
        <f>C142-C172</f>
        <v>63543.6131438</v>
      </c>
      <c r="D157" s="4">
        <f>D142-D172-D181</f>
        <v>64973.1004415</v>
      </c>
      <c r="E157" s="8">
        <f>E142-E172-E181</f>
        <v>64080.149505900015</v>
      </c>
      <c r="F157" s="8">
        <f>F142-F172-F181</f>
        <v>59233.721536000005</v>
      </c>
      <c r="G157" s="7">
        <v>53623.59567500002</v>
      </c>
      <c r="H157" s="7">
        <f aca="true" t="shared" si="59" ref="H157:AF157">H142-H172-H181</f>
        <v>52792.879639</v>
      </c>
      <c r="I157" s="7">
        <f t="shared" si="59"/>
        <v>50965.813822</v>
      </c>
      <c r="J157" s="7">
        <f t="shared" si="59"/>
        <v>52025.858417999996</v>
      </c>
      <c r="K157" s="7">
        <f t="shared" si="59"/>
        <v>52106.1739255</v>
      </c>
      <c r="L157" s="7">
        <f t="shared" si="59"/>
        <v>53941.17925</v>
      </c>
      <c r="M157" s="7">
        <f t="shared" si="59"/>
        <v>54723.202546</v>
      </c>
      <c r="N157" s="7">
        <f t="shared" si="59"/>
        <v>54569.896022000015</v>
      </c>
      <c r="O157" s="7">
        <f t="shared" si="59"/>
        <v>52822.583979999996</v>
      </c>
      <c r="P157" s="7">
        <f t="shared" si="59"/>
        <v>54250.735867999996</v>
      </c>
      <c r="Q157" s="7">
        <f t="shared" si="59"/>
        <v>54147.51409499999</v>
      </c>
      <c r="R157" s="7">
        <f>R142-R172-R181</f>
        <v>54373.5</v>
      </c>
      <c r="S157" s="7">
        <f t="shared" si="59"/>
        <v>55409.974659999985</v>
      </c>
      <c r="T157" s="7">
        <f t="shared" si="59"/>
        <v>54680.52792399997</v>
      </c>
      <c r="U157" s="7">
        <f t="shared" si="59"/>
        <v>52944.384099999996</v>
      </c>
      <c r="V157" s="7">
        <f t="shared" si="59"/>
        <v>54146.183227999994</v>
      </c>
      <c r="W157" s="7">
        <f t="shared" si="59"/>
        <v>54299.69215999999</v>
      </c>
      <c r="X157" s="7">
        <f t="shared" si="59"/>
        <v>52987.1944</v>
      </c>
      <c r="Y157" s="7">
        <f t="shared" si="59"/>
        <v>53321.78794</v>
      </c>
      <c r="Z157" s="7">
        <f t="shared" si="59"/>
        <v>52896.00089999999</v>
      </c>
      <c r="AA157" s="7">
        <f t="shared" si="59"/>
        <v>51405.98187</v>
      </c>
      <c r="AB157" s="7">
        <f t="shared" si="59"/>
        <v>53069.351139</v>
      </c>
      <c r="AC157" s="7">
        <f t="shared" si="59"/>
        <v>52907.28300000001</v>
      </c>
      <c r="AD157" s="7">
        <f t="shared" si="59"/>
        <v>51523.352844999994</v>
      </c>
      <c r="AE157" s="7">
        <f t="shared" si="59"/>
        <v>51921.472806000005</v>
      </c>
      <c r="AF157" s="7">
        <f t="shared" si="59"/>
        <v>52037.32608000002</v>
      </c>
      <c r="AG157" s="8">
        <f>AG142-AG172-AG181</f>
        <v>51067.448888</v>
      </c>
      <c r="AH157" s="8">
        <f>AH142-AH172-AH181</f>
        <v>51723.729009</v>
      </c>
      <c r="AI157" s="8">
        <f>AI142-AI172-AI181</f>
        <v>51804.40525199999</v>
      </c>
      <c r="AJ157" s="8">
        <f>AJ142-AJ172-AJ181</f>
        <v>50099.255568</v>
      </c>
      <c r="AK157" s="8">
        <f>AK142-AK172-AK181</f>
        <v>50964.79340400001</v>
      </c>
      <c r="AL157" s="8">
        <f aca="true" t="shared" si="60" ref="AL157:BC157">AL142-AL172-AL181</f>
        <v>53265.64992</v>
      </c>
      <c r="AM157" s="8">
        <f t="shared" si="60"/>
        <v>46929.593594000005</v>
      </c>
      <c r="AN157" s="8">
        <f t="shared" si="60"/>
        <v>47802.925005</v>
      </c>
      <c r="AO157" s="8">
        <f t="shared" si="60"/>
        <v>47960.29509840001</v>
      </c>
      <c r="AP157" s="8">
        <v>46621.9</v>
      </c>
      <c r="AQ157" s="8">
        <f t="shared" si="60"/>
        <v>47404.17229999999</v>
      </c>
      <c r="AR157" s="8">
        <f t="shared" si="60"/>
        <v>47372.44537499997</v>
      </c>
      <c r="AS157" s="8">
        <f t="shared" si="60"/>
        <v>40702.4776288</v>
      </c>
      <c r="AT157" s="8">
        <f t="shared" si="60"/>
        <v>40551.019011</v>
      </c>
      <c r="AU157" s="8">
        <f t="shared" si="60"/>
        <v>40357.561130999995</v>
      </c>
      <c r="AV157" s="8">
        <f>AV142-AV172-AV181</f>
        <v>40263.4579277</v>
      </c>
      <c r="AW157" s="8">
        <f t="shared" si="60"/>
        <v>39707.42145610001</v>
      </c>
      <c r="AX157" s="8">
        <f t="shared" si="60"/>
        <v>39602.248704</v>
      </c>
      <c r="AY157" s="8">
        <f t="shared" si="60"/>
        <v>38757.2870992</v>
      </c>
      <c r="AZ157" s="8">
        <f t="shared" si="60"/>
        <v>38613.611881200006</v>
      </c>
      <c r="BA157" s="8">
        <f t="shared" si="60"/>
        <v>38306.94201599998</v>
      </c>
      <c r="BB157" s="8">
        <f t="shared" si="60"/>
        <v>38454.974836000016</v>
      </c>
      <c r="BC157" s="8">
        <f t="shared" si="60"/>
        <v>38990.424597599995</v>
      </c>
      <c r="BD157" s="8">
        <f>BD142-BD172-BD181</f>
        <v>38814.16386640002</v>
      </c>
      <c r="BE157" s="8">
        <f>BE142-BE172-BE181</f>
        <v>38872.4637924</v>
      </c>
      <c r="BF157" s="8">
        <f>BF142-BF172-BF181</f>
        <v>33844.22488219999</v>
      </c>
      <c r="BG157" s="8">
        <f>BG142-BG172-BG181</f>
        <v>33695.6545068</v>
      </c>
    </row>
    <row r="158" spans="1:59" ht="12.75">
      <c r="A158" s="60" t="s">
        <v>11</v>
      </c>
      <c r="B158" s="8">
        <v>0</v>
      </c>
      <c r="C158" s="8">
        <v>0</v>
      </c>
      <c r="D158" s="4">
        <v>0</v>
      </c>
      <c r="E158" s="8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8">
        <v>0</v>
      </c>
      <c r="AE158" s="7">
        <v>0</v>
      </c>
      <c r="AF158" s="7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</row>
    <row r="159" spans="1:59" ht="12.75">
      <c r="A159" s="21" t="s">
        <v>53</v>
      </c>
      <c r="B159" s="8"/>
      <c r="C159" s="8"/>
      <c r="D159" s="5"/>
      <c r="E159" s="8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8"/>
      <c r="AE159" s="7"/>
      <c r="AF159" s="7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1:59" ht="12.75">
      <c r="A160" s="21" t="s">
        <v>30</v>
      </c>
      <c r="B160" s="8">
        <v>5398.27</v>
      </c>
      <c r="C160" s="8">
        <f>C145-144.8*4.3197</f>
        <v>4352.96169</v>
      </c>
      <c r="D160" s="4">
        <f>D145-139.7*4.4287</f>
        <v>3344.11137</v>
      </c>
      <c r="E160" s="8">
        <f>E145-(137.8)*4.4847-E181</f>
        <v>18640.655550000003</v>
      </c>
      <c r="F160" s="8">
        <v>21009.39554</v>
      </c>
      <c r="G160" s="8">
        <f>G145-(150.9+64.74)*4.4424+G181</f>
        <v>21001.179455999998</v>
      </c>
      <c r="H160" s="8">
        <f>H145-(150.6+63.36)*4.4381+H181</f>
        <v>21327.067645000003</v>
      </c>
      <c r="I160" s="8">
        <f>I145-(150.9+63.59)*4.4098+I181</f>
        <v>20906.023938</v>
      </c>
      <c r="J160" s="8">
        <f>J145-(148.7+63.33)*4.4198+J181</f>
        <v>21195.81387</v>
      </c>
      <c r="K160" s="8">
        <f>K145-(147.6+169.58)*4.4395+K181</f>
        <v>19506.852235</v>
      </c>
      <c r="L160" s="8">
        <f>L145-(145.4+149.52)*4.4735+L181</f>
        <v>19057.55735</v>
      </c>
      <c r="M160" s="8">
        <f>M145-(146.8+151.84)*4.407+M181</f>
        <v>19034.934750000004</v>
      </c>
      <c r="N160" s="8">
        <f>N145-(145.3+148.27)*4.4321+N181</f>
        <v>20149.213020000003</v>
      </c>
      <c r="O160" s="8">
        <f>O145-(145.1+149.4)*4.4167+O181</f>
        <v>20286.123934999996</v>
      </c>
      <c r="P160" s="8">
        <f>P145-(142.6+148.71)*4.4322+P181</f>
        <v>20931.286109999997</v>
      </c>
      <c r="Q160" s="8">
        <f>Q145-(141.9+146.5)*4.446+Q181</f>
        <v>21101.33844</v>
      </c>
      <c r="R160" s="8">
        <v>18523.3</v>
      </c>
      <c r="S160" s="8">
        <f>S145-(141.08+138.3)*4.5337+S181</f>
        <v>19214.772677</v>
      </c>
      <c r="T160" s="8">
        <f>T145-(140.5+146.88)*4.4692+T181</f>
        <v>20754.249728000003</v>
      </c>
      <c r="U160" s="8">
        <f>U145-(138.6+147.12)*4.4738+U181</f>
        <v>20029.560503999997</v>
      </c>
      <c r="V160" s="8">
        <f>V145-(136.5+148.77)*4.4774+V181</f>
        <v>20553.77334400001</v>
      </c>
      <c r="W160" s="8">
        <f>W145-(135+146.1)*4.5115+W181</f>
        <v>18875.800195000003</v>
      </c>
      <c r="X160" s="8">
        <f>X145-(138.9+146.37)*4.521+X181</f>
        <v>19335.729269999996</v>
      </c>
      <c r="Y160" s="8">
        <f>Y145-(139.9+148.1)*4.4654+Y181</f>
        <v>19112.715772000003</v>
      </c>
      <c r="Z160" s="8">
        <f>Z145-(139.8+144.36)*4.4535+Z181</f>
        <v>21994.144169999996</v>
      </c>
      <c r="AA160" s="8">
        <f>AA145-(138+143.29)*4.4523+AA181</f>
        <v>21717.963216000004</v>
      </c>
      <c r="AB160" s="8">
        <f>AB145-(104.5+141.46)*4.5057+AB181</f>
        <v>21739.461816000006</v>
      </c>
      <c r="AC160" s="8">
        <f>AC145-(104.7+140.3)*4.5162+AC181</f>
        <v>20593.872</v>
      </c>
      <c r="AD160" s="8">
        <f>AD145-(81.92+139.49)*4.5411+AD181</f>
        <v>21469.775868</v>
      </c>
      <c r="AE160" s="8">
        <f>AE145-(81.92+139.49)*4.5038+AE181</f>
        <v>20788.189660000004</v>
      </c>
      <c r="AF160" s="8">
        <f>AF145-(82.81+138.9)*4.516+AF181</f>
        <v>20607.54668</v>
      </c>
      <c r="AG160" s="8">
        <f>AG145-(80.68+137.97)*4.5511+AG181</f>
        <v>22035.333936000003</v>
      </c>
      <c r="AH160" s="8">
        <f>AH145-(80.25+138.56)*4.5333+AH181</f>
        <v>22587.847244999997</v>
      </c>
      <c r="AI160" s="8">
        <f>AI145-(79.33+136.21)*4.5702+AI181</f>
        <v>23225.619294</v>
      </c>
      <c r="AJ160" s="8">
        <f>AJ145-(82.5+136.63)*4.5539+AJ181</f>
        <v>23361.871312</v>
      </c>
      <c r="AK160" s="8">
        <f>AK145-(82.4+136.5)*4.5598+AK181</f>
        <v>23086.449791999996</v>
      </c>
      <c r="AL160" s="8">
        <f>AL145-(77.79+134.43)*4.5906+AL181</f>
        <v>23053.625952000002</v>
      </c>
      <c r="AM160" s="8">
        <f>AM145-(78.31+134.18)*4.5991+AM181</f>
        <v>23689.826127</v>
      </c>
      <c r="AN160" s="8">
        <f>AN145-(78.09+134.08)*4.5985+AN181</f>
        <v>22836.610849999997</v>
      </c>
      <c r="AO160" s="8">
        <f>AO145-(78.09+106.25)*4.6422+AO181</f>
        <v>22381.346015999992</v>
      </c>
      <c r="AP160" s="8">
        <f>AP145-(74.76+84.08)*4.6597+AP181</f>
        <v>23544.066189999998</v>
      </c>
      <c r="AQ160" s="8">
        <f>AQ145-(74.55+84.07)*4.6582+AQ181</f>
        <v>23011.507999999998</v>
      </c>
      <c r="AR160" s="8">
        <f>AR145-(74.29+84.02)*4.6625+AR181</f>
        <v>23760.1046625</v>
      </c>
      <c r="AS160" s="8">
        <f>AS145-AS175+AS181</f>
        <v>24138.524336000006</v>
      </c>
      <c r="AT160" s="8">
        <f aca="true" t="shared" si="61" ref="AT160:AY161">AT145-AT175</f>
        <v>24483.888364</v>
      </c>
      <c r="AU160" s="8">
        <f t="shared" si="61"/>
        <v>24427.509565500004</v>
      </c>
      <c r="AV160" s="8">
        <f t="shared" si="61"/>
        <v>25155.7469505</v>
      </c>
      <c r="AW160" s="8">
        <f t="shared" si="61"/>
        <v>25807.609073499996</v>
      </c>
      <c r="AX160" s="8">
        <f t="shared" si="61"/>
        <v>26009.636868</v>
      </c>
      <c r="AY160" s="8">
        <f t="shared" si="61"/>
        <v>26900.604023400003</v>
      </c>
      <c r="AZ160" s="8">
        <f>AZ145-AZ175</f>
        <v>28061.669072400007</v>
      </c>
      <c r="BA160" s="8">
        <f>BA145-BA175</f>
        <v>28446.283632000002</v>
      </c>
      <c r="BB160" s="8">
        <f aca="true" t="shared" si="62" ref="BB160:BG161">BB145-BB175</f>
        <v>30580.72591</v>
      </c>
      <c r="BC160" s="8">
        <f t="shared" si="62"/>
        <v>30197.836677000003</v>
      </c>
      <c r="BD160" s="8">
        <f t="shared" si="62"/>
        <v>30564.917850399997</v>
      </c>
      <c r="BE160" s="8">
        <f t="shared" si="62"/>
        <v>28614.854772</v>
      </c>
      <c r="BF160" s="8">
        <f t="shared" si="62"/>
        <v>25789.972160200003</v>
      </c>
      <c r="BG160" s="8">
        <f t="shared" si="62"/>
        <v>25790.878261500005</v>
      </c>
    </row>
    <row r="161" spans="1:59" ht="12.75">
      <c r="A161" s="21" t="s">
        <v>31</v>
      </c>
      <c r="B161" s="8">
        <f>47481.16-337.647*4.2848</f>
        <v>46034.4101344</v>
      </c>
      <c r="C161" s="8">
        <f>C146-1168.9*4.3197</f>
        <v>64185.32941590001</v>
      </c>
      <c r="D161" s="4">
        <f>D146-1294*4.4287</f>
        <v>76734.2735617</v>
      </c>
      <c r="E161" s="8">
        <f>E146-(1330)*4.4847</f>
        <v>81674.7016338</v>
      </c>
      <c r="F161" s="8">
        <f>84147.770263-287.272*4.4821+189.8</f>
        <v>83049.9884318</v>
      </c>
      <c r="G161" s="8">
        <f>G146-(1279-129.05)*4.4424</f>
        <v>75298.90212</v>
      </c>
      <c r="H161" s="8">
        <f>H146-(1300.3-124.55)*4.4381</f>
        <v>75317.26424100001</v>
      </c>
      <c r="I161" s="8">
        <f>I146-(1293.7-127.6)*4.4098+186.8</f>
        <v>72745.03270000001</v>
      </c>
      <c r="J161" s="8">
        <f>J146-(1288.8-127.1)*4.4198</f>
        <v>73004.797866</v>
      </c>
      <c r="K161" s="8">
        <f>K146-(1309.3-127.05)*4.4395</f>
        <v>72276.525035</v>
      </c>
      <c r="L161" s="8">
        <f>L146-(796.7)*4.4735+168.4</f>
        <v>76361.11419499997</v>
      </c>
      <c r="M161" s="8">
        <f>M146-(796.2)*4.407</f>
        <v>74898.99221999999</v>
      </c>
      <c r="N161" s="8">
        <f>N146-(792.1)*4.4321</f>
        <v>75255.90565400002</v>
      </c>
      <c r="O161" s="8">
        <f>O146-(833.9)*4.4167+166.3</f>
        <v>74295.144037</v>
      </c>
      <c r="P161" s="8">
        <f>P146-(835.7)*4.4322</f>
        <v>81198.746118</v>
      </c>
      <c r="Q161" s="8">
        <f>Q146-(813.4)*4.446</f>
        <v>82146.02994000001</v>
      </c>
      <c r="R161" s="8">
        <f>84137.6-267.178*4.5245+149</f>
        <v>83077.75313900001</v>
      </c>
      <c r="S161" s="8">
        <f>S146-(313.5+514)*4.5337</f>
        <v>83506.265637</v>
      </c>
      <c r="T161" s="8">
        <f>T146-(311.4+512.6)*4.4692</f>
        <v>83459.941324</v>
      </c>
      <c r="U161" s="8">
        <f>U146-(307+509)*4.4738+147.4</f>
        <v>84433.86976599997</v>
      </c>
      <c r="V161" s="8">
        <f>V146-(304.9+504.6)*4.4774</f>
        <v>83620.37014</v>
      </c>
      <c r="W161" s="8">
        <f>W146-(304.3+503.3)*4.5115</f>
        <v>88187.237915</v>
      </c>
      <c r="X161" s="8">
        <f>X146-(298.2+495.6)*4.521+127.6</f>
        <v>83799.79883000001</v>
      </c>
      <c r="Y161" s="8">
        <f>Y146-(298.2+497.5)*4.4654</f>
        <v>82094.63749399998</v>
      </c>
      <c r="Z161" s="8">
        <f>Z146-(296.9+496.6)*4.4535</f>
        <v>81917.23365000001</v>
      </c>
      <c r="AA161" s="8">
        <f>AA146-(292+492.8)*4.4523+125.7</f>
        <v>82449.139278</v>
      </c>
      <c r="AB161" s="8">
        <f>AB146-(289.9+490.96)*4.5057</f>
        <v>86255.90426099999</v>
      </c>
      <c r="AC161" s="8">
        <f>AC146-(288.8+487.2)*4.5162</f>
        <v>86126.64372</v>
      </c>
      <c r="AD161" s="8">
        <f>86832.008888-238.084*4.5411+120.9</f>
        <v>85871.74563559999</v>
      </c>
      <c r="AE161" s="8">
        <f>AE146-(283.4+479.7)*4.5038</f>
        <v>85185.593808</v>
      </c>
      <c r="AF161" s="8">
        <f>AF146-(281.3+478.5)*4.516</f>
        <v>84998.5714</v>
      </c>
      <c r="AG161" s="8">
        <f>AG146-(276.91+474.27)*4.5511+110.3</f>
        <v>86847.69375199999</v>
      </c>
      <c r="AH161" s="8">
        <f>AH146-(275.95+471.65)*4.5333</f>
        <v>92830.19742</v>
      </c>
      <c r="AI161" s="8">
        <f>AI146-(273.4+458.6)*4.5702</f>
        <v>93664.37521799999</v>
      </c>
      <c r="AJ161" s="8">
        <f>AJ146-(268.32+451.19)*4.5539+100.2</f>
        <v>92880.279864</v>
      </c>
      <c r="AK161" s="8">
        <f>AK146-(268.32+472.1)*4.5598</f>
        <v>92360.390528</v>
      </c>
      <c r="AL161" s="8">
        <f>AL146-(266.22+477.44)*4.5906</f>
        <v>95714.69859000001</v>
      </c>
      <c r="AM161" s="8">
        <f>AM146-(262.12+470.23)*4.5991+86.6</f>
        <v>91479.490359</v>
      </c>
      <c r="AN161" s="8">
        <f>AN146-(260+480.9)*4.5985</f>
        <v>95364.24482</v>
      </c>
      <c r="AO161" s="8">
        <f>AO146-(258.91+475.87)*4.6422</f>
        <v>96056.91304199999</v>
      </c>
      <c r="AP161" s="8">
        <f>AP146-(253.75+463.09)*4.6597+118.7</f>
        <v>95977.040707</v>
      </c>
      <c r="AQ161" s="8">
        <f>AQ146-(253.75+461.53)*4.6582</f>
        <v>96233.56747200001</v>
      </c>
      <c r="AR161" s="8">
        <f>AR146-(251.65+460.45)*4.6625</f>
        <v>104952.54862500001</v>
      </c>
      <c r="AS161" s="8">
        <f>AS146-AS176</f>
        <v>98407.309808</v>
      </c>
      <c r="AT161" s="8">
        <f t="shared" si="61"/>
        <v>98194.778915</v>
      </c>
      <c r="AU161" s="8">
        <f t="shared" si="61"/>
        <v>97248.28416300002</v>
      </c>
      <c r="AV161" s="8">
        <f t="shared" si="61"/>
        <v>93097.8236349</v>
      </c>
      <c r="AW161" s="8">
        <f t="shared" si="61"/>
        <v>92193.40333680001</v>
      </c>
      <c r="AX161" s="8">
        <f t="shared" si="61"/>
        <v>92177.232768</v>
      </c>
      <c r="AY161" s="8">
        <f t="shared" si="61"/>
        <v>91677.27503990002</v>
      </c>
      <c r="AZ161" s="8">
        <f>AZ146-AZ176</f>
        <v>97929.38190240001</v>
      </c>
      <c r="BA161" s="8">
        <f>BA146-BA176</f>
        <v>97306.97783999999</v>
      </c>
      <c r="BB161" s="8">
        <f t="shared" si="62"/>
        <v>97508.17129170001</v>
      </c>
      <c r="BC161" s="8">
        <f t="shared" si="62"/>
        <v>97529.27867940001</v>
      </c>
      <c r="BD161" s="8">
        <f t="shared" si="62"/>
        <v>97975.88468880001</v>
      </c>
      <c r="BE161" s="8">
        <f t="shared" si="62"/>
        <v>99050.37987599999</v>
      </c>
      <c r="BF161" s="8">
        <f t="shared" si="62"/>
        <v>107790.8020326</v>
      </c>
      <c r="BG161" s="8">
        <f t="shared" si="62"/>
        <v>107705.33593049999</v>
      </c>
    </row>
    <row r="162" spans="1:59" ht="12.75">
      <c r="A162" s="21" t="s">
        <v>32</v>
      </c>
      <c r="B162" s="8">
        <f>6302.5-16.462*4.2848</f>
        <v>6231.9636224</v>
      </c>
      <c r="C162" s="8">
        <f>C147-9*4.3197</f>
        <v>5464.148358900001</v>
      </c>
      <c r="D162" s="4">
        <f>D147-5.1*4.4287</f>
        <v>12161.2242337</v>
      </c>
      <c r="E162" s="8">
        <f>E147-3.7*4.4847</f>
        <v>16074.417790700001</v>
      </c>
      <c r="F162" s="7">
        <f>23063.868896-8.575*4.4821</f>
        <v>23025.4348885</v>
      </c>
      <c r="G162" s="7">
        <f>G147-3.1*4.4424</f>
        <v>24391.270379</v>
      </c>
      <c r="H162" s="7">
        <f>H147-3.1*4.4381</f>
        <v>24630.589327000005</v>
      </c>
      <c r="I162" s="7">
        <f>I147-2.5*4.4098</f>
        <v>25562.5294425</v>
      </c>
      <c r="J162" s="7">
        <f>J147-2.4*4.4198</f>
        <v>24491.609368</v>
      </c>
      <c r="K162" s="7">
        <f>K147-2.4*4.4395</f>
        <v>24955.136141499996</v>
      </c>
      <c r="L162" s="7">
        <f>L147-2.4*4.4735</f>
        <v>24634.9176515</v>
      </c>
      <c r="M162" s="7">
        <f>M147-2.4*4.407</f>
        <v>24823.117786</v>
      </c>
      <c r="N162" s="7">
        <f>N147-2.4*4.4321</f>
        <v>24274.232151</v>
      </c>
      <c r="O162" s="7">
        <f>O147-1.6*4.4167</f>
        <v>23882.774063</v>
      </c>
      <c r="P162" s="7">
        <f>P147-1.6*4.4322</f>
        <v>23845.400647999995</v>
      </c>
      <c r="Q162" s="7">
        <f>Q147-1.7*4.446</f>
        <v>24563.227099999996</v>
      </c>
      <c r="R162" s="7">
        <f>24259-7.289*4.5245</f>
        <v>24226.0209195</v>
      </c>
      <c r="S162" s="7">
        <f>S147-1.6*4.5337</f>
        <v>23977.594609999996</v>
      </c>
      <c r="T162" s="7">
        <f>T147-1.6*4.4692</f>
        <v>23311.017539999997</v>
      </c>
      <c r="U162" s="7">
        <f>U147-0.8*4.4738</f>
        <v>21871.781868</v>
      </c>
      <c r="V162" s="7">
        <f>V147-0.8*4.4774</f>
        <v>21636.722082</v>
      </c>
      <c r="W162" s="7">
        <f>W147-0.8*4.5115</f>
        <v>22109.68851</v>
      </c>
      <c r="X162" s="7">
        <f>X147-0.8*4.521</f>
        <v>22049.369100000004</v>
      </c>
      <c r="Y162" s="7">
        <f>Y147-0.8*4.4654</f>
        <v>22114.67023</v>
      </c>
      <c r="Z162" s="7">
        <f>Z147-0.8*4.4535</f>
        <v>22012.314449999998</v>
      </c>
      <c r="AA162" s="7">
        <f aca="true" t="shared" si="63" ref="AA162:BD162">AA147</f>
        <v>21496.505814000004</v>
      </c>
      <c r="AB162" s="7">
        <f t="shared" si="63"/>
        <v>22009.037846999996</v>
      </c>
      <c r="AC162" s="7">
        <f t="shared" si="63"/>
        <v>22693.00176</v>
      </c>
      <c r="AD162" s="8">
        <f>AD147</f>
        <v>23281.561240500003</v>
      </c>
      <c r="AE162" s="7">
        <f t="shared" si="63"/>
        <v>23048.601842</v>
      </c>
      <c r="AF162" s="7">
        <f t="shared" si="63"/>
        <v>23493.04488</v>
      </c>
      <c r="AG162" s="8">
        <f t="shared" si="63"/>
        <v>23539.700041</v>
      </c>
      <c r="AH162" s="8">
        <f t="shared" si="63"/>
        <v>22907.807559</v>
      </c>
      <c r="AI162" s="8">
        <f t="shared" si="63"/>
        <v>22388.632866000004</v>
      </c>
      <c r="AJ162" s="8">
        <f t="shared" si="63"/>
        <v>21829.210728000002</v>
      </c>
      <c r="AK162" s="8">
        <f t="shared" si="63"/>
        <v>21156.514442</v>
      </c>
      <c r="AL162" s="8">
        <f t="shared" si="63"/>
        <v>20930.198016000002</v>
      </c>
      <c r="AM162" s="8">
        <f t="shared" si="63"/>
        <v>21059.600836999998</v>
      </c>
      <c r="AN162" s="8">
        <f t="shared" si="63"/>
        <v>21259.233379999998</v>
      </c>
      <c r="AO162" s="8">
        <f t="shared" si="63"/>
        <v>20995.649316</v>
      </c>
      <c r="AP162" s="8">
        <f t="shared" si="63"/>
        <v>20735.432014999995</v>
      </c>
      <c r="AQ162" s="8">
        <f t="shared" si="63"/>
        <v>19766.931954</v>
      </c>
      <c r="AR162" s="8">
        <f t="shared" si="63"/>
        <v>20032.571125000002</v>
      </c>
      <c r="AS162" s="8">
        <f t="shared" si="63"/>
        <v>19732.993648</v>
      </c>
      <c r="AT162" s="8">
        <f t="shared" si="63"/>
        <v>19884.557912</v>
      </c>
      <c r="AU162" s="8">
        <f t="shared" si="63"/>
        <v>20392.076988</v>
      </c>
      <c r="AV162" s="8">
        <f t="shared" si="63"/>
        <v>24362.208658800002</v>
      </c>
      <c r="AW162" s="8">
        <f t="shared" si="63"/>
        <v>23973.0342629</v>
      </c>
      <c r="AX162" s="8">
        <f t="shared" si="63"/>
        <v>23975.341955999997</v>
      </c>
      <c r="AY162" s="8">
        <f t="shared" si="63"/>
        <v>24033.048795500003</v>
      </c>
      <c r="AZ162" s="8">
        <f t="shared" si="63"/>
        <v>24345.412229999998</v>
      </c>
      <c r="BA162" s="8">
        <f t="shared" si="63"/>
        <v>24164.565503999995</v>
      </c>
      <c r="BB162" s="8">
        <f t="shared" si="63"/>
        <v>23917.038868000003</v>
      </c>
      <c r="BC162" s="8">
        <f t="shared" si="63"/>
        <v>24164.5678932</v>
      </c>
      <c r="BD162" s="8">
        <f t="shared" si="63"/>
        <v>24314.768327200003</v>
      </c>
      <c r="BE162" s="8">
        <f>BE147</f>
        <v>24703.067113200002</v>
      </c>
      <c r="BF162" s="8">
        <f>BF147</f>
        <v>24600.146184600006</v>
      </c>
      <c r="BG162" s="8">
        <f>BG147</f>
        <v>24623.068460100003</v>
      </c>
    </row>
    <row r="163" spans="1:59" ht="12.75">
      <c r="A163" s="21" t="s">
        <v>33</v>
      </c>
      <c r="B163" s="8">
        <f aca="true" t="shared" si="64" ref="B163:BF163">B150-B160-B161-B162</f>
        <v>12495.495795200004</v>
      </c>
      <c r="C163" s="8">
        <f t="shared" si="64"/>
        <v>13155.85045699999</v>
      </c>
      <c r="D163" s="4">
        <f t="shared" si="64"/>
        <v>13024.9181361</v>
      </c>
      <c r="E163" s="8">
        <f t="shared" si="64"/>
        <v>7540.938381399999</v>
      </c>
      <c r="F163" s="8">
        <f t="shared" si="64"/>
        <v>3248.9031857000155</v>
      </c>
      <c r="G163" s="8">
        <f t="shared" si="64"/>
        <v>3412.874376000029</v>
      </c>
      <c r="H163" s="8">
        <f t="shared" si="64"/>
        <v>2593.3754489999883</v>
      </c>
      <c r="I163" s="8">
        <f t="shared" si="64"/>
        <v>717.8777414999822</v>
      </c>
      <c r="J163" s="8">
        <f t="shared" si="64"/>
        <v>2488.6567860000105</v>
      </c>
      <c r="K163" s="8">
        <f t="shared" si="64"/>
        <v>2542.3121490000085</v>
      </c>
      <c r="L163" s="8">
        <f t="shared" si="64"/>
        <v>673.1400535000284</v>
      </c>
      <c r="M163" s="8">
        <f t="shared" si="64"/>
        <v>2452.0548000000163</v>
      </c>
      <c r="N163" s="8">
        <f t="shared" si="64"/>
        <v>2244.8586499999983</v>
      </c>
      <c r="O163" s="8">
        <f t="shared" si="64"/>
        <v>739.6419449999994</v>
      </c>
      <c r="P163" s="8">
        <f t="shared" si="64"/>
        <v>2476.2701399999933</v>
      </c>
      <c r="Q163" s="8">
        <f t="shared" si="64"/>
        <v>2339.643594999994</v>
      </c>
      <c r="R163" s="8">
        <f t="shared" si="64"/>
        <v>2195.4259414999906</v>
      </c>
      <c r="S163" s="8">
        <f t="shared" si="64"/>
        <v>2307.0298469999725</v>
      </c>
      <c r="T163" s="8">
        <f t="shared" si="64"/>
        <v>2588.532763999963</v>
      </c>
      <c r="U163" s="8">
        <f t="shared" si="64"/>
        <v>834.211452000025</v>
      </c>
      <c r="V163" s="8">
        <f t="shared" si="64"/>
        <v>2584.176183999989</v>
      </c>
      <c r="W163" s="8">
        <f t="shared" si="64"/>
        <v>2555.7647499999657</v>
      </c>
      <c r="X163" s="8">
        <f t="shared" si="64"/>
        <v>1130.8375400000004</v>
      </c>
      <c r="Y163" s="8">
        <f t="shared" si="64"/>
        <v>2879.8257680000424</v>
      </c>
      <c r="Z163" s="8">
        <f t="shared" si="64"/>
        <v>2626.8969750000033</v>
      </c>
      <c r="AA163" s="8">
        <f t="shared" si="64"/>
        <v>1085.4735619999992</v>
      </c>
      <c r="AB163" s="8">
        <f t="shared" si="64"/>
        <v>2450.8304580000004</v>
      </c>
      <c r="AC163" s="8">
        <f t="shared" si="64"/>
        <v>2550.7497600000206</v>
      </c>
      <c r="AD163" s="8">
        <f t="shared" si="64"/>
        <v>1965.1701008999917</v>
      </c>
      <c r="AE163" s="7">
        <f t="shared" si="64"/>
        <v>2305.450182000004</v>
      </c>
      <c r="AF163" s="7">
        <f t="shared" si="64"/>
        <v>2508.954120000024</v>
      </c>
      <c r="AG163" s="8">
        <f t="shared" si="64"/>
        <v>1474.3211590000174</v>
      </c>
      <c r="AH163" s="8">
        <f t="shared" si="64"/>
        <v>2405.958309000016</v>
      </c>
      <c r="AI163" s="8">
        <f t="shared" si="64"/>
        <v>2521.516446000005</v>
      </c>
      <c r="AJ163" s="8">
        <f t="shared" si="64"/>
        <v>1160.6936640000094</v>
      </c>
      <c r="AK163" s="8">
        <f t="shared" si="64"/>
        <v>2633.512490000023</v>
      </c>
      <c r="AL163" s="8">
        <f t="shared" si="64"/>
        <v>2209.1344379999864</v>
      </c>
      <c r="AM163" s="8">
        <f t="shared" si="64"/>
        <v>885.0260540000381</v>
      </c>
      <c r="AN163" s="8">
        <f t="shared" si="64"/>
        <v>2179.8729399999793</v>
      </c>
      <c r="AO163" s="8">
        <f t="shared" si="64"/>
        <v>2175.854846400016</v>
      </c>
      <c r="AP163" s="8">
        <f t="shared" si="64"/>
        <v>1699.8610880000087</v>
      </c>
      <c r="AQ163" s="8">
        <f t="shared" si="64"/>
        <v>2113.5650859999732</v>
      </c>
      <c r="AR163" s="8">
        <f t="shared" si="64"/>
        <v>2010.5585874999233</v>
      </c>
      <c r="AS163" s="8">
        <f t="shared" si="64"/>
        <v>1814.4519168000152</v>
      </c>
      <c r="AT163" s="8">
        <f t="shared" si="64"/>
        <v>1796.1923059999863</v>
      </c>
      <c r="AU163" s="8">
        <f t="shared" si="64"/>
        <v>1855.5277994999924</v>
      </c>
      <c r="AV163" s="8">
        <f t="shared" si="64"/>
        <v>1851.470971099996</v>
      </c>
      <c r="AW163" s="8">
        <f t="shared" si="64"/>
        <v>1799.5894909000126</v>
      </c>
      <c r="AX163" s="8">
        <f t="shared" si="64"/>
        <v>1809.8039520000239</v>
      </c>
      <c r="AY163" s="8">
        <f t="shared" si="64"/>
        <v>1276.0442844000027</v>
      </c>
      <c r="AZ163" s="8">
        <f t="shared" si="64"/>
        <v>1786.79171639997</v>
      </c>
      <c r="BA163" s="8">
        <f t="shared" si="64"/>
        <v>1772.3529599999783</v>
      </c>
      <c r="BB163" s="8">
        <f t="shared" si="64"/>
        <v>1812.7387662999972</v>
      </c>
      <c r="BC163" s="8">
        <f t="shared" si="64"/>
        <v>1860.8237479999807</v>
      </c>
      <c r="BD163" s="8">
        <f t="shared" si="64"/>
        <v>1826.9384800000225</v>
      </c>
      <c r="BE163" s="8">
        <f t="shared" si="64"/>
        <v>1818.5513472000275</v>
      </c>
      <c r="BF163" s="8">
        <f t="shared" si="64"/>
        <v>1809.229418799976</v>
      </c>
      <c r="BG163" s="8">
        <f>BG150-BG160-BG161-BG162</f>
        <v>1853.0899497000137</v>
      </c>
    </row>
    <row r="164" spans="1:61" s="86" customFormat="1" ht="12.75">
      <c r="A164" s="155" t="s">
        <v>54</v>
      </c>
      <c r="B164" s="159">
        <f>146740.5-B111</f>
        <v>66282.47</v>
      </c>
      <c r="C164" s="159">
        <f>179102-C111</f>
        <v>82788.02</v>
      </c>
      <c r="D164" s="159">
        <f>207519.1-D111</f>
        <v>98996.52</v>
      </c>
      <c r="E164" s="159">
        <f aca="true" t="shared" si="65" ref="E164:BF164">E31-E111</f>
        <v>108447.8333559</v>
      </c>
      <c r="F164" s="159">
        <f t="shared" si="65"/>
        <v>124241.76204599997</v>
      </c>
      <c r="G164" s="159">
        <f t="shared" si="65"/>
        <v>121673.45633100002</v>
      </c>
      <c r="H164" s="159">
        <f t="shared" si="65"/>
        <v>121005.306662</v>
      </c>
      <c r="I164" s="159">
        <f t="shared" si="65"/>
        <v>113042.65382200001</v>
      </c>
      <c r="J164" s="159">
        <f t="shared" si="65"/>
        <v>114616.61789000001</v>
      </c>
      <c r="K164" s="159">
        <f t="shared" si="65"/>
        <v>116406.78556049998</v>
      </c>
      <c r="L164" s="159">
        <f t="shared" si="65"/>
        <v>115239.64924999999</v>
      </c>
      <c r="M164" s="159">
        <f t="shared" si="65"/>
        <v>118583.25955599998</v>
      </c>
      <c r="N164" s="159">
        <f t="shared" si="65"/>
        <v>118285.61947499998</v>
      </c>
      <c r="O164" s="159">
        <f t="shared" si="65"/>
        <v>115559.98397999999</v>
      </c>
      <c r="P164" s="159">
        <f t="shared" si="65"/>
        <v>125807.723016</v>
      </c>
      <c r="Q164" s="159">
        <f t="shared" si="65"/>
        <v>129781.159075</v>
      </c>
      <c r="R164" s="159">
        <f t="shared" si="65"/>
        <v>129876.15</v>
      </c>
      <c r="S164" s="159">
        <f t="shared" si="65"/>
        <v>129014.26277099998</v>
      </c>
      <c r="T164" s="159">
        <f t="shared" si="65"/>
        <v>132912.84135599996</v>
      </c>
      <c r="U164" s="159">
        <f t="shared" si="65"/>
        <v>127069.52359</v>
      </c>
      <c r="V164" s="159">
        <f t="shared" si="65"/>
        <v>137458.94175000003</v>
      </c>
      <c r="W164" s="159">
        <f t="shared" si="65"/>
        <v>138936.89137</v>
      </c>
      <c r="X164" s="159">
        <f t="shared" si="65"/>
        <v>129844.33474000002</v>
      </c>
      <c r="Y164" s="159">
        <f t="shared" si="65"/>
        <v>135785.74926400004</v>
      </c>
      <c r="Z164" s="159">
        <f t="shared" si="65"/>
        <v>128962.489245</v>
      </c>
      <c r="AA164" s="159">
        <f t="shared" si="65"/>
        <v>130392.68187000003</v>
      </c>
      <c r="AB164" s="159">
        <f t="shared" si="65"/>
        <v>141053.73438200002</v>
      </c>
      <c r="AC164" s="159">
        <f t="shared" si="65"/>
        <v>143918.36723999996</v>
      </c>
      <c r="AD164" s="159">
        <f t="shared" si="65"/>
        <v>146536.652845</v>
      </c>
      <c r="AE164" s="159">
        <f t="shared" si="65"/>
        <v>144398.835492</v>
      </c>
      <c r="AF164" s="159">
        <f t="shared" si="65"/>
        <v>147141.81708000004</v>
      </c>
      <c r="AG164" s="159">
        <f t="shared" si="65"/>
        <v>149820.64888800003</v>
      </c>
      <c r="AH164" s="159">
        <f t="shared" si="65"/>
        <v>160864.910533</v>
      </c>
      <c r="AI164" s="159">
        <f t="shared" si="65"/>
        <v>162695.943824</v>
      </c>
      <c r="AJ164" s="159">
        <f t="shared" si="65"/>
        <v>157753.65556800002</v>
      </c>
      <c r="AK164" s="159">
        <f t="shared" si="65"/>
        <v>155832.76725200002</v>
      </c>
      <c r="AL164" s="159">
        <f t="shared" si="65"/>
        <v>159694.55699599997</v>
      </c>
      <c r="AM164" s="159">
        <f t="shared" si="65"/>
        <v>156182.54337700005</v>
      </c>
      <c r="AN164" s="159">
        <f t="shared" si="65"/>
        <v>161735.16198999996</v>
      </c>
      <c r="AO164" s="159">
        <f t="shared" si="65"/>
        <v>163327.66322040002</v>
      </c>
      <c r="AP164" s="159">
        <f t="shared" si="65"/>
        <v>162922.69999999998</v>
      </c>
      <c r="AQ164" s="159">
        <f t="shared" si="65"/>
        <v>155636.072512</v>
      </c>
      <c r="AR164" s="159">
        <f t="shared" si="65"/>
        <v>168750.18299999993</v>
      </c>
      <c r="AS164" s="159">
        <f t="shared" si="65"/>
        <v>163761.37970880003</v>
      </c>
      <c r="AT164" s="159">
        <f t="shared" si="65"/>
        <v>165444.01749699996</v>
      </c>
      <c r="AU164" s="159">
        <f t="shared" si="65"/>
        <v>167017.29851599995</v>
      </c>
      <c r="AV164" s="159">
        <f t="shared" si="65"/>
        <v>167940.25021530004</v>
      </c>
      <c r="AW164" s="159">
        <f t="shared" si="65"/>
        <v>167921.93616410004</v>
      </c>
      <c r="AX164" s="159">
        <f t="shared" si="65"/>
        <v>172925.41554400002</v>
      </c>
      <c r="AY164" s="159">
        <f t="shared" si="65"/>
        <v>175473.77214320007</v>
      </c>
      <c r="AZ164" s="159">
        <f t="shared" si="65"/>
        <v>190468.15492119998</v>
      </c>
      <c r="BA164" s="159">
        <f t="shared" si="65"/>
        <v>187811.47993599993</v>
      </c>
      <c r="BB164" s="159">
        <f t="shared" si="65"/>
        <v>192455.97483600004</v>
      </c>
      <c r="BC164" s="159">
        <f t="shared" si="65"/>
        <v>190847.90699760002</v>
      </c>
      <c r="BD164" s="159">
        <f t="shared" si="65"/>
        <v>187986.50934640007</v>
      </c>
      <c r="BE164" s="159">
        <f t="shared" si="65"/>
        <v>191431.0531084</v>
      </c>
      <c r="BF164" s="159">
        <f t="shared" si="65"/>
        <v>195549.9497962</v>
      </c>
      <c r="BG164" s="159">
        <f>BG31-BG111</f>
        <v>201790.07260180006</v>
      </c>
      <c r="BH164" s="85"/>
      <c r="BI164" s="85"/>
    </row>
    <row r="165" spans="1:59" ht="25.5">
      <c r="A165" s="62" t="s">
        <v>55</v>
      </c>
      <c r="B165" s="6">
        <f aca="true" t="shared" si="66" ref="B165:BC165">B170+B172</f>
        <v>5319.5792</v>
      </c>
      <c r="C165" s="6">
        <f t="shared" si="66"/>
        <v>5713.66719</v>
      </c>
      <c r="D165" s="2">
        <f t="shared" si="66"/>
        <v>5992.91684</v>
      </c>
      <c r="E165" s="6">
        <f t="shared" si="66"/>
        <v>6213.55185</v>
      </c>
      <c r="F165" s="6">
        <f t="shared" si="66"/>
        <v>6321.822766000001</v>
      </c>
      <c r="G165" s="6">
        <f t="shared" si="66"/>
        <v>6173.558856000001</v>
      </c>
      <c r="H165" s="6">
        <f t="shared" si="66"/>
        <v>6181.430061</v>
      </c>
      <c r="I165" s="6">
        <f t="shared" si="66"/>
        <v>6198.414879999999</v>
      </c>
      <c r="J165" s="6">
        <f t="shared" si="66"/>
        <v>6181.885864000002</v>
      </c>
      <c r="K165" s="6">
        <f t="shared" si="66"/>
        <v>6667.374284999999</v>
      </c>
      <c r="L165" s="6">
        <f t="shared" si="66"/>
        <v>4894.098469999999</v>
      </c>
      <c r="M165" s="6">
        <f t="shared" si="66"/>
        <v>4835.97738</v>
      </c>
      <c r="N165" s="6">
        <f t="shared" si="66"/>
        <v>5000.605467</v>
      </c>
      <c r="O165" s="6">
        <f t="shared" si="66"/>
        <v>4990.871</v>
      </c>
      <c r="P165" s="6">
        <f t="shared" si="66"/>
        <v>5002.668462</v>
      </c>
      <c r="Q165" s="6">
        <f t="shared" si="66"/>
        <v>4978.36404</v>
      </c>
      <c r="R165" s="6">
        <f t="shared" si="66"/>
        <v>5047.01646</v>
      </c>
      <c r="S165" s="6">
        <f t="shared" si="66"/>
        <v>5192.899979999999</v>
      </c>
      <c r="T165" s="6">
        <f t="shared" si="66"/>
        <v>4974.130216</v>
      </c>
      <c r="U165" s="6">
        <f t="shared" si="66"/>
        <v>4932.901356</v>
      </c>
      <c r="V165" s="6">
        <f t="shared" si="66"/>
        <v>4905.305118</v>
      </c>
      <c r="W165" s="6">
        <f t="shared" si="66"/>
        <v>4911.67005</v>
      </c>
      <c r="X165" s="6">
        <f t="shared" si="66"/>
        <v>4882.54437</v>
      </c>
      <c r="Y165" s="6">
        <f t="shared" si="66"/>
        <v>4842.7263</v>
      </c>
      <c r="Z165" s="6">
        <f t="shared" si="66"/>
        <v>4799.35881</v>
      </c>
      <c r="AA165" s="6">
        <f t="shared" si="66"/>
        <v>4747.888197</v>
      </c>
      <c r="AB165" s="6">
        <f t="shared" si="66"/>
        <v>4626.497817</v>
      </c>
      <c r="AC165" s="6">
        <f t="shared" si="66"/>
        <v>4611.0402</v>
      </c>
      <c r="AD165" s="6">
        <f t="shared" si="66"/>
        <v>4679.785194</v>
      </c>
      <c r="AE165" s="6">
        <f t="shared" si="66"/>
        <v>4439.4857360000005</v>
      </c>
      <c r="AF165" s="6">
        <f t="shared" si="66"/>
        <v>4432.454</v>
      </c>
      <c r="AG165" s="6">
        <f t="shared" si="66"/>
        <v>4414.066379000001</v>
      </c>
      <c r="AH165" s="6">
        <f t="shared" si="66"/>
        <v>4381.0264529999995</v>
      </c>
      <c r="AI165" s="6">
        <f t="shared" si="66"/>
        <v>4330.49301</v>
      </c>
      <c r="AJ165" s="6">
        <f t="shared" si="66"/>
        <v>4405.943788999999</v>
      </c>
      <c r="AK165" s="6">
        <f t="shared" si="66"/>
        <v>4374.033748</v>
      </c>
      <c r="AL165" s="6">
        <f t="shared" si="66"/>
        <v>4388.0168220000005</v>
      </c>
      <c r="AM165" s="6">
        <f t="shared" si="66"/>
        <v>4345.413644</v>
      </c>
      <c r="AN165" s="6">
        <f t="shared" si="66"/>
        <v>4382.646409999999</v>
      </c>
      <c r="AO165" s="6">
        <f t="shared" si="66"/>
        <v>4266.6924420000005</v>
      </c>
      <c r="AP165" s="6">
        <f>AP170+AP172</f>
        <v>4172.989761999999</v>
      </c>
      <c r="AQ165" s="6">
        <f t="shared" si="66"/>
        <v>4070.80098</v>
      </c>
      <c r="AR165" s="6">
        <f t="shared" si="66"/>
        <v>4058.2866249999997</v>
      </c>
      <c r="AS165" s="6">
        <f t="shared" si="66"/>
        <v>4010.7059360000003</v>
      </c>
      <c r="AT165" s="6">
        <f t="shared" si="66"/>
        <v>4083.1531379999997</v>
      </c>
      <c r="AU165" s="6">
        <f t="shared" si="66"/>
        <v>4021.826418</v>
      </c>
      <c r="AV165" s="6">
        <f t="shared" si="66"/>
        <v>4001.6615553</v>
      </c>
      <c r="AW165" s="6">
        <f t="shared" si="66"/>
        <v>3972.094997700001</v>
      </c>
      <c r="AX165" s="6">
        <f t="shared" si="66"/>
        <v>3997.3833720000002</v>
      </c>
      <c r="AY165" s="6">
        <f t="shared" si="66"/>
        <v>3973.7941953</v>
      </c>
      <c r="AZ165" s="6">
        <f t="shared" si="66"/>
        <v>3965.1979548</v>
      </c>
      <c r="BA165" s="6">
        <f t="shared" si="66"/>
        <v>3921.5811839999997</v>
      </c>
      <c r="BB165" s="6">
        <f t="shared" si="66"/>
        <v>3982.177737</v>
      </c>
      <c r="BC165" s="6">
        <f t="shared" si="66"/>
        <v>4080.782076</v>
      </c>
      <c r="BD165" s="6">
        <f>BD170+BD172</f>
        <v>4174.9219008</v>
      </c>
      <c r="BE165" s="6">
        <f>BE170+BE172</f>
        <v>4109.8344084</v>
      </c>
      <c r="BF165" s="6">
        <f>BF170+BF172</f>
        <v>4066.6289374</v>
      </c>
      <c r="BG165" s="6">
        <f>BG170+BG172</f>
        <v>4009.1659542</v>
      </c>
    </row>
    <row r="166" spans="1:59" ht="12.75">
      <c r="A166" s="21" t="s">
        <v>5</v>
      </c>
      <c r="B166" s="6"/>
      <c r="C166" s="6"/>
      <c r="D166" s="2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1:59" ht="12.75">
      <c r="A167" s="21" t="s">
        <v>49</v>
      </c>
      <c r="B167" s="20">
        <v>0</v>
      </c>
      <c r="C167" s="20">
        <v>0</v>
      </c>
      <c r="D167" s="4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8">
        <v>0</v>
      </c>
      <c r="BD167" s="8">
        <v>0</v>
      </c>
      <c r="BE167" s="8">
        <v>0</v>
      </c>
      <c r="BF167" s="8">
        <v>0</v>
      </c>
      <c r="BG167" s="8">
        <v>0</v>
      </c>
    </row>
    <row r="168" spans="1:59" ht="12.75">
      <c r="A168" s="21" t="s">
        <v>50</v>
      </c>
      <c r="B168" s="7">
        <f aca="true" t="shared" si="67" ref="B168:BC168">B170+B172</f>
        <v>5319.5792</v>
      </c>
      <c r="C168" s="7">
        <f t="shared" si="67"/>
        <v>5713.66719</v>
      </c>
      <c r="D168" s="4">
        <f t="shared" si="67"/>
        <v>5992.91684</v>
      </c>
      <c r="E168" s="8">
        <f t="shared" si="67"/>
        <v>6213.55185</v>
      </c>
      <c r="F168" s="7">
        <f t="shared" si="67"/>
        <v>6321.822766000001</v>
      </c>
      <c r="G168" s="7">
        <f t="shared" si="67"/>
        <v>6173.558856000001</v>
      </c>
      <c r="H168" s="7">
        <f t="shared" si="67"/>
        <v>6181.430061</v>
      </c>
      <c r="I168" s="7">
        <f t="shared" si="67"/>
        <v>6198.414879999999</v>
      </c>
      <c r="J168" s="7">
        <f t="shared" si="67"/>
        <v>6181.885864000002</v>
      </c>
      <c r="K168" s="7">
        <f t="shared" si="67"/>
        <v>6667.374284999999</v>
      </c>
      <c r="L168" s="7">
        <f t="shared" si="67"/>
        <v>4894.098469999999</v>
      </c>
      <c r="M168" s="7">
        <f t="shared" si="67"/>
        <v>4835.97738</v>
      </c>
      <c r="N168" s="7">
        <f t="shared" si="67"/>
        <v>5000.605467</v>
      </c>
      <c r="O168" s="7">
        <f t="shared" si="67"/>
        <v>4990.871</v>
      </c>
      <c r="P168" s="7">
        <f t="shared" si="67"/>
        <v>5002.668462</v>
      </c>
      <c r="Q168" s="7">
        <f t="shared" si="67"/>
        <v>4978.36404</v>
      </c>
      <c r="R168" s="7">
        <f t="shared" si="67"/>
        <v>5047.01646</v>
      </c>
      <c r="S168" s="7">
        <f t="shared" si="67"/>
        <v>5192.899979999999</v>
      </c>
      <c r="T168" s="7">
        <f t="shared" si="67"/>
        <v>4974.130216</v>
      </c>
      <c r="U168" s="7">
        <f t="shared" si="67"/>
        <v>4932.901356</v>
      </c>
      <c r="V168" s="7">
        <f t="shared" si="67"/>
        <v>4905.305118</v>
      </c>
      <c r="W168" s="7">
        <f>W170+W172</f>
        <v>4911.67005</v>
      </c>
      <c r="X168" s="7">
        <f t="shared" si="67"/>
        <v>4882.54437</v>
      </c>
      <c r="Y168" s="7">
        <f t="shared" si="67"/>
        <v>4842.7263</v>
      </c>
      <c r="Z168" s="7">
        <f t="shared" si="67"/>
        <v>4799.35881</v>
      </c>
      <c r="AA168" s="7">
        <f t="shared" si="67"/>
        <v>4747.888197</v>
      </c>
      <c r="AB168" s="7">
        <f t="shared" si="67"/>
        <v>4626.497817</v>
      </c>
      <c r="AC168" s="7">
        <f t="shared" si="67"/>
        <v>4611.0402</v>
      </c>
      <c r="AD168" s="7">
        <f>AD170+AD172</f>
        <v>4679.785194</v>
      </c>
      <c r="AE168" s="7">
        <f t="shared" si="67"/>
        <v>4439.4857360000005</v>
      </c>
      <c r="AF168" s="7">
        <f t="shared" si="67"/>
        <v>4432.454</v>
      </c>
      <c r="AG168" s="8">
        <f t="shared" si="67"/>
        <v>4414.066379000001</v>
      </c>
      <c r="AH168" s="8">
        <f t="shared" si="67"/>
        <v>4381.0264529999995</v>
      </c>
      <c r="AI168" s="8">
        <f t="shared" si="67"/>
        <v>4330.49301</v>
      </c>
      <c r="AJ168" s="8">
        <f t="shared" si="67"/>
        <v>4405.943788999999</v>
      </c>
      <c r="AK168" s="8">
        <f t="shared" si="67"/>
        <v>4374.033748</v>
      </c>
      <c r="AL168" s="8">
        <f t="shared" si="67"/>
        <v>4388.0168220000005</v>
      </c>
      <c r="AM168" s="8">
        <f t="shared" si="67"/>
        <v>4345.413644</v>
      </c>
      <c r="AN168" s="8">
        <f t="shared" si="67"/>
        <v>4382.646409999999</v>
      </c>
      <c r="AO168" s="8">
        <f t="shared" si="67"/>
        <v>4266.6924420000005</v>
      </c>
      <c r="AP168" s="8">
        <f t="shared" si="67"/>
        <v>4172.989761999999</v>
      </c>
      <c r="AQ168" s="8">
        <f t="shared" si="67"/>
        <v>4070.80098</v>
      </c>
      <c r="AR168" s="8">
        <f t="shared" si="67"/>
        <v>4058.2866249999997</v>
      </c>
      <c r="AS168" s="8">
        <f t="shared" si="67"/>
        <v>4010.7059360000003</v>
      </c>
      <c r="AT168" s="8">
        <f t="shared" si="67"/>
        <v>4083.1531379999997</v>
      </c>
      <c r="AU168" s="8">
        <f t="shared" si="67"/>
        <v>4021.826418</v>
      </c>
      <c r="AV168" s="8">
        <f t="shared" si="67"/>
        <v>4001.6615553</v>
      </c>
      <c r="AW168" s="8">
        <f t="shared" si="67"/>
        <v>3972.094997700001</v>
      </c>
      <c r="AX168" s="8">
        <f t="shared" si="67"/>
        <v>3997.3833720000002</v>
      </c>
      <c r="AY168" s="8">
        <f t="shared" si="67"/>
        <v>3973.7941953</v>
      </c>
      <c r="AZ168" s="8">
        <f t="shared" si="67"/>
        <v>3965.1979548</v>
      </c>
      <c r="BA168" s="8">
        <f t="shared" si="67"/>
        <v>3921.5811839999997</v>
      </c>
      <c r="BB168" s="8">
        <f t="shared" si="67"/>
        <v>3982.177737</v>
      </c>
      <c r="BC168" s="8">
        <f t="shared" si="67"/>
        <v>4080.782076</v>
      </c>
      <c r="BD168" s="8">
        <f>BD170+BD172</f>
        <v>4174.9219008</v>
      </c>
      <c r="BE168" s="8">
        <f>BE170+BE172</f>
        <v>4109.8344084</v>
      </c>
      <c r="BF168" s="8">
        <f>BF170+BF172</f>
        <v>4066.6289374</v>
      </c>
      <c r="BG168" s="8">
        <f>BG170+BG172</f>
        <v>4009.1659542</v>
      </c>
    </row>
    <row r="169" spans="1:59" ht="12.75">
      <c r="A169" s="21" t="s">
        <v>43</v>
      </c>
      <c r="B169" s="7"/>
      <c r="C169" s="7"/>
      <c r="D169" s="4"/>
      <c r="E169" s="8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1:59" ht="12.75">
      <c r="A170" s="21" t="s">
        <v>27</v>
      </c>
      <c r="B170" s="7">
        <f>(500-34.7)*4.2848</f>
        <v>1993.71744</v>
      </c>
      <c r="C170" s="7">
        <f>(500-67.4)*4.3197</f>
        <v>1868.7022200000001</v>
      </c>
      <c r="D170" s="4">
        <f>(500-97.5)*4.4287</f>
        <v>1782.55175</v>
      </c>
      <c r="E170" s="8">
        <f>(500-94.1)*4.4847</f>
        <v>1820.33973</v>
      </c>
      <c r="F170" s="7">
        <f>(500-67.44)*4.4821</f>
        <v>1938.777176</v>
      </c>
      <c r="G170" s="7">
        <f>(500-64.31)*4.4424</f>
        <v>1935.509256</v>
      </c>
      <c r="H170" s="7">
        <f>(500-61.19)*4.4381</f>
        <v>1947.4826610000002</v>
      </c>
      <c r="I170" s="7">
        <v>1922.628702</v>
      </c>
      <c r="J170" s="7">
        <f>(500-63.72)*4.4198</f>
        <v>1928.270344</v>
      </c>
      <c r="K170" s="7">
        <f>(500+42.53)*4.4395</f>
        <v>2408.5619349999997</v>
      </c>
      <c r="L170" s="7">
        <f>(149.52)*4.4735</f>
        <v>668.87772</v>
      </c>
      <c r="M170" s="7">
        <f>(151.84)*4.407</f>
        <v>669.1588800000001</v>
      </c>
      <c r="N170" s="7">
        <f>(148.27)*4.4321</f>
        <v>657.1474670000001</v>
      </c>
      <c r="O170" s="7">
        <f>(149.4)*4.4167</f>
        <v>659.85498</v>
      </c>
      <c r="P170" s="7">
        <f>(148.71)*4.4322</f>
        <v>659.112462</v>
      </c>
      <c r="Q170" s="7">
        <f>(146.54)*4.446</f>
        <v>651.5168399999999</v>
      </c>
      <c r="R170" s="7">
        <f>(141.08)*4.5245</f>
        <v>638.31646</v>
      </c>
      <c r="S170" s="7">
        <f>(145.6)*4.5337</f>
        <v>660.1067199999999</v>
      </c>
      <c r="T170" s="7">
        <f>(146.88)*4.4692</f>
        <v>656.4360959999999</v>
      </c>
      <c r="U170" s="7">
        <f>(147.12)*4.4738</f>
        <v>658.1854559999999</v>
      </c>
      <c r="V170" s="7">
        <f>(148.77)*4.4774</f>
        <v>666.1027980000001</v>
      </c>
      <c r="W170" s="7">
        <f>(146.1)*4.5115</f>
        <v>659.13015</v>
      </c>
      <c r="X170" s="7">
        <f>(146.37)*4.521</f>
        <v>661.73877</v>
      </c>
      <c r="Y170" s="7">
        <f>(148.1)*4.4654</f>
        <v>661.32574</v>
      </c>
      <c r="Z170" s="7">
        <f>144.36*4.4535</f>
        <v>642.9072600000001</v>
      </c>
      <c r="AA170" s="7">
        <f>143.29*4.4523</f>
        <v>637.970067</v>
      </c>
      <c r="AB170" s="7">
        <f>141.46*4.5057</f>
        <v>637.3763220000001</v>
      </c>
      <c r="AC170" s="7">
        <f>140.3*4.5162</f>
        <v>633.6228600000001</v>
      </c>
      <c r="AD170" s="7">
        <f>139.49*4.5411</f>
        <v>633.4380390000001</v>
      </c>
      <c r="AE170" s="7">
        <f>140.62*4.5038</f>
        <v>633.3243560000001</v>
      </c>
      <c r="AF170" s="7">
        <f>138.9*4.516</f>
        <v>627.2724000000001</v>
      </c>
      <c r="AG170" s="8">
        <f>137.97*4.5511</f>
        <v>627.915267</v>
      </c>
      <c r="AH170" s="8">
        <f>138.56*4.5333</f>
        <v>628.134048</v>
      </c>
      <c r="AI170" s="8">
        <f>136.21*4.5702</f>
        <v>622.506942</v>
      </c>
      <c r="AJ170" s="8">
        <f>136.63*4.5539</f>
        <v>622.199357</v>
      </c>
      <c r="AK170" s="8">
        <f>136.5*4.5598</f>
        <v>622.4127</v>
      </c>
      <c r="AL170" s="8">
        <f>134.43*4.5906</f>
        <v>617.114358</v>
      </c>
      <c r="AM170" s="8">
        <f>134.18*4.5991</f>
        <v>617.107238</v>
      </c>
      <c r="AN170" s="8">
        <f>134.08*4.5985</f>
        <v>616.56688</v>
      </c>
      <c r="AO170" s="8">
        <f>106.25*4.6422</f>
        <v>493.23375</v>
      </c>
      <c r="AP170" s="8">
        <f>88.2*4.6597</f>
        <v>410.98554</v>
      </c>
      <c r="AQ170" s="8">
        <f>84.07*4.6582</f>
        <v>391.614874</v>
      </c>
      <c r="AR170" s="8">
        <f>84.02*4.6625</f>
        <v>391.74324999999993</v>
      </c>
      <c r="AS170" s="8">
        <f>84.11*4.6576</f>
        <v>391.750736</v>
      </c>
      <c r="AT170" s="8">
        <f>86.61*4.6589</f>
        <v>403.507329</v>
      </c>
      <c r="AU170" s="8">
        <f>81.49*4.6485</f>
        <v>378.806265</v>
      </c>
      <c r="AV170" s="8">
        <f>81.53*4.6611</f>
        <v>380.01948300000004</v>
      </c>
      <c r="AW170" s="8">
        <f>82.03*4.6283</f>
        <v>379.65944900000005</v>
      </c>
      <c r="AX170" s="8">
        <f>81.74*4.644</f>
        <v>379.60056</v>
      </c>
      <c r="AY170" s="8">
        <f>81.51*4.6637</f>
        <v>380.1381870000001</v>
      </c>
      <c r="AZ170" s="8">
        <f>81.43*4.6668</f>
        <v>380.01752400000004</v>
      </c>
      <c r="BA170" s="8">
        <f>81.63*4.656</f>
        <v>380.06927999999994</v>
      </c>
      <c r="BB170" s="8">
        <f>81.3*4.6639</f>
        <v>379.17507</v>
      </c>
      <c r="BC170" s="8">
        <f>80.13*4.7348</f>
        <v>379.399524</v>
      </c>
      <c r="BD170" s="8">
        <f>80.24*4.7416</f>
        <v>380.465984</v>
      </c>
      <c r="BE170" s="8">
        <f>79.88*4.7628</f>
        <v>380.452464</v>
      </c>
      <c r="BF170" s="8">
        <f>73.03*4.7582</f>
        <v>347.491346</v>
      </c>
      <c r="BG170" s="8">
        <f>69.1*4.7487</f>
        <v>328.13517</v>
      </c>
    </row>
    <row r="171" spans="1:59" ht="12.75">
      <c r="A171" s="60" t="s">
        <v>11</v>
      </c>
      <c r="B171" s="8">
        <v>0</v>
      </c>
      <c r="C171" s="7">
        <v>0</v>
      </c>
      <c r="D171" s="4">
        <v>0</v>
      </c>
      <c r="E171" s="8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0</v>
      </c>
      <c r="AZ171" s="8">
        <v>0</v>
      </c>
      <c r="BA171" s="8">
        <v>0</v>
      </c>
      <c r="BB171" s="8">
        <v>0</v>
      </c>
      <c r="BC171" s="8">
        <v>0</v>
      </c>
      <c r="BD171" s="8">
        <v>0</v>
      </c>
      <c r="BE171" s="8">
        <v>0</v>
      </c>
      <c r="BF171" s="8">
        <v>0</v>
      </c>
      <c r="BG171" s="8">
        <v>0</v>
      </c>
    </row>
    <row r="172" spans="1:59" ht="12.75">
      <c r="A172" s="21" t="s">
        <v>52</v>
      </c>
      <c r="B172" s="7">
        <f>(776.2)*4.2848</f>
        <v>3325.86176</v>
      </c>
      <c r="C172" s="7">
        <f>(890.1)*4.3197</f>
        <v>3844.96497</v>
      </c>
      <c r="D172" s="4">
        <f>(1450.7-500)*4.4287</f>
        <v>4210.36509</v>
      </c>
      <c r="E172" s="8">
        <f>(1479.6-500)*4.4847</f>
        <v>4393.21212</v>
      </c>
      <c r="F172" s="7">
        <f>(1477.9-500)*4.4821</f>
        <v>4383.045590000001</v>
      </c>
      <c r="G172" s="7">
        <f>(1454-500)*4.4424</f>
        <v>4238.0496</v>
      </c>
      <c r="H172" s="7">
        <f>(1454-500)*4.4381</f>
        <v>4233.9474</v>
      </c>
      <c r="I172" s="7">
        <v>4275.786177999999</v>
      </c>
      <c r="J172" s="7">
        <f>(1462.4-500)*4.4198</f>
        <v>4253.615520000001</v>
      </c>
      <c r="K172" s="7">
        <f>(959.3)*4.4395</f>
        <v>4258.812349999999</v>
      </c>
      <c r="L172" s="7">
        <f>(944.5)*4.4735</f>
        <v>4225.2207499999995</v>
      </c>
      <c r="M172" s="7">
        <f>(945.5)*4.407</f>
        <v>4166.8185</v>
      </c>
      <c r="N172" s="7">
        <f>(939.8+17.6+22.6)*4.4321</f>
        <v>4343.4580000000005</v>
      </c>
      <c r="O172" s="7">
        <f>(980.6)*4.4167</f>
        <v>4331.01602</v>
      </c>
      <c r="P172" s="7">
        <f>(980)*4.4322</f>
        <v>4343.556</v>
      </c>
      <c r="Q172" s="7">
        <f>(973.2)*4.446</f>
        <v>4326.8472</v>
      </c>
      <c r="R172" s="7">
        <v>4408.7</v>
      </c>
      <c r="S172" s="7">
        <f>(999.8)*4.5337</f>
        <v>4532.7932599999995</v>
      </c>
      <c r="T172" s="7">
        <f>(966.1)*4.4692</f>
        <v>4317.69412</v>
      </c>
      <c r="U172" s="7">
        <f>(955.5)*4.4738</f>
        <v>4274.7159</v>
      </c>
      <c r="V172" s="7">
        <f>(946.8)*4.4774</f>
        <v>4239.20232</v>
      </c>
      <c r="W172" s="7">
        <f>(638.3+304.3)*4.5115</f>
        <v>4252.5399</v>
      </c>
      <c r="X172" s="7">
        <f>(634.6+299)*4.521</f>
        <v>4220.8056</v>
      </c>
      <c r="Y172" s="7">
        <f>(637.4+299)*4.4654</f>
        <v>4181.40056</v>
      </c>
      <c r="Z172" s="7">
        <f>(636.4+296.9)*4.4535</f>
        <v>4156.45155</v>
      </c>
      <c r="AA172" s="7">
        <f>(631.3+291.8)*4.4523</f>
        <v>4109.91813</v>
      </c>
      <c r="AB172" s="7">
        <f>(595.45+289.9)*4.5057</f>
        <v>3989.1214950000003</v>
      </c>
      <c r="AC172" s="7">
        <f>(591.9+288.8)*4.5162</f>
        <v>3977.4173400000004</v>
      </c>
      <c r="AD172" s="7">
        <v>4046.347155</v>
      </c>
      <c r="AE172" s="7">
        <f>(561.7+283.4)*4.5038</f>
        <v>3806.16138</v>
      </c>
      <c r="AF172" s="7">
        <f>(561.3+281.3)*4.516</f>
        <v>3805.1815999999994</v>
      </c>
      <c r="AG172" s="8">
        <f>(554.95+276.97)*4.5511</f>
        <v>3786.1511120000005</v>
      </c>
      <c r="AH172" s="8">
        <f>(551.9+275.95)*4.5333</f>
        <v>3752.892404999999</v>
      </c>
      <c r="AI172" s="8">
        <f>(537.94+273.4)*4.5702</f>
        <v>3707.986068</v>
      </c>
      <c r="AJ172" s="8">
        <f>(562.48+268.4)*4.5539</f>
        <v>3783.7444319999995</v>
      </c>
      <c r="AK172" s="8">
        <f>(554.44+268.32)*4.5598</f>
        <v>3751.621048</v>
      </c>
      <c r="AL172" s="8">
        <f>(555.22+266.22)*4.5906</f>
        <v>3770.9024640000002</v>
      </c>
      <c r="AM172" s="8">
        <f>(548.54+262.12)*4.5991</f>
        <v>3728.3064059999997</v>
      </c>
      <c r="AN172" s="8">
        <f>(558.98+260)*4.5985</f>
        <v>3766.0795299999995</v>
      </c>
      <c r="AO172" s="8">
        <f>(553.95+258.91)*4.6422</f>
        <v>3773.4586920000006</v>
      </c>
      <c r="AP172" s="8">
        <f>(537.51+253.75)*4.6597+74.97</f>
        <v>3762.0042219999996</v>
      </c>
      <c r="AQ172" s="8">
        <f>(536.08+253.75)*4.6582</f>
        <v>3679.186106</v>
      </c>
      <c r="AR172" s="8">
        <f>(534.74+251.65)*4.6625</f>
        <v>3666.5433749999997</v>
      </c>
      <c r="AS172" s="8">
        <f>(529.55+247.45)*4.6576</f>
        <v>3618.9552000000003</v>
      </c>
      <c r="AT172" s="8">
        <f>(543.3+246.51)*4.6589</f>
        <v>3679.6458089999996</v>
      </c>
      <c r="AU172" s="8">
        <f>(538.582+245.116)*4.6485</f>
        <v>3643.020153</v>
      </c>
      <c r="AV172" s="8">
        <f>(536.957+240.036)*4.6611</f>
        <v>3621.6420723</v>
      </c>
      <c r="AW172" s="8">
        <f>(536.153+240.036)*4.6283</f>
        <v>3592.4355487000007</v>
      </c>
      <c r="AX172" s="8">
        <f>(541.085+237.938)*4.644</f>
        <v>3617.7828120000004</v>
      </c>
      <c r="AY172" s="8">
        <f>(536.72+233.839)*4.6637</f>
        <v>3593.6560083</v>
      </c>
      <c r="AZ172" s="8">
        <f>(535.34+232.891)*4.6668</f>
        <v>3585.1804308</v>
      </c>
      <c r="BA172" s="8">
        <f>(528.833+231.801)*4.656</f>
        <v>3541.511904</v>
      </c>
      <c r="BB172" s="8">
        <f>(545.88+226.65)*4.6639</f>
        <v>3603.0026669999997</v>
      </c>
      <c r="BC172" s="8">
        <f>(226.645+555.095)*4.7348</f>
        <v>3701.382552</v>
      </c>
      <c r="BD172" s="8">
        <f>(224.547+575.701)*4.7416</f>
        <v>3794.4559168</v>
      </c>
      <c r="BE172" s="8">
        <f>(220.348+562.675)*4.7628</f>
        <v>3729.3819444</v>
      </c>
      <c r="BF172" s="8">
        <f>(219.4+562.227)*4.7582</f>
        <v>3719.1375914</v>
      </c>
      <c r="BG172" s="8">
        <f>(218.011+557.155)*4.7487</f>
        <v>3681.0307842</v>
      </c>
    </row>
    <row r="173" spans="1:59" ht="12.75">
      <c r="A173" s="60" t="s">
        <v>11</v>
      </c>
      <c r="B173" s="8"/>
      <c r="C173" s="94">
        <v>0</v>
      </c>
      <c r="D173" s="95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0</v>
      </c>
      <c r="AJ173" s="21">
        <v>0</v>
      </c>
      <c r="AK173" s="21">
        <v>0</v>
      </c>
      <c r="AL173" s="21">
        <v>0</v>
      </c>
      <c r="AM173" s="21">
        <v>0</v>
      </c>
      <c r="AN173" s="21">
        <v>0</v>
      </c>
      <c r="AO173" s="21">
        <v>0</v>
      </c>
      <c r="AP173" s="21">
        <v>0</v>
      </c>
      <c r="AQ173" s="21">
        <v>0</v>
      </c>
      <c r="AR173" s="21">
        <v>0</v>
      </c>
      <c r="AS173" s="21">
        <v>0</v>
      </c>
      <c r="AT173" s="21">
        <v>0</v>
      </c>
      <c r="AU173" s="21">
        <v>0</v>
      </c>
      <c r="AV173" s="21">
        <v>0</v>
      </c>
      <c r="AW173" s="21">
        <v>0</v>
      </c>
      <c r="AX173" s="21">
        <v>0</v>
      </c>
      <c r="AY173" s="21">
        <v>0</v>
      </c>
      <c r="AZ173" s="21">
        <v>0</v>
      </c>
      <c r="BA173" s="21">
        <v>0</v>
      </c>
      <c r="BB173" s="21">
        <v>0</v>
      </c>
      <c r="BC173" s="21">
        <v>0</v>
      </c>
      <c r="BD173" s="21">
        <v>0</v>
      </c>
      <c r="BE173" s="21">
        <v>0</v>
      </c>
      <c r="BF173" s="21">
        <v>0</v>
      </c>
      <c r="BG173" s="21">
        <v>0</v>
      </c>
    </row>
    <row r="174" spans="1:59" ht="12.75">
      <c r="A174" s="21" t="s">
        <v>13</v>
      </c>
      <c r="B174" s="8"/>
      <c r="C174" s="94"/>
      <c r="D174" s="95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</row>
    <row r="175" spans="1:59" ht="12.75">
      <c r="A175" s="21" t="s">
        <v>30</v>
      </c>
      <c r="B175" s="8">
        <v>0</v>
      </c>
      <c r="C175" s="8">
        <v>0</v>
      </c>
      <c r="D175" s="8">
        <v>0</v>
      </c>
      <c r="E175" s="8">
        <v>0</v>
      </c>
      <c r="F175" s="8">
        <f>(146.9+64.16)*4.4821</f>
        <v>945.992026</v>
      </c>
      <c r="G175" s="8">
        <f>(150.9+64.74)*4.4424</f>
        <v>957.959136</v>
      </c>
      <c r="H175" s="8">
        <f>(150.6+63.36)*4.4381</f>
        <v>949.575876</v>
      </c>
      <c r="I175" s="8">
        <f>(150.9+63.59)*4.4098</f>
        <v>945.8580019999999</v>
      </c>
      <c r="J175" s="8">
        <f>(148.7+63.33)*4.4198</f>
        <v>937.130194</v>
      </c>
      <c r="K175" s="8">
        <f>(147.6+169.58)*4.4395</f>
        <v>1408.12061</v>
      </c>
      <c r="L175" s="8">
        <f>(145.4+149.52)*4.4735</f>
        <v>1319.3246199999999</v>
      </c>
      <c r="M175" s="8">
        <f>(146.8+151.84)*4.407</f>
        <v>1316.10648</v>
      </c>
      <c r="N175" s="8">
        <f>(145.3+148.27)*4.4321</f>
        <v>1301.1315970000003</v>
      </c>
      <c r="O175" s="8">
        <f>(145.1+149.4)*4.4167</f>
        <v>1300.71815</v>
      </c>
      <c r="P175" s="8">
        <f>(142.6+148.71)*4.4322</f>
        <v>1291.144182</v>
      </c>
      <c r="Q175" s="8">
        <f>(141.9+146.54)*4.446</f>
        <v>1282.4042399999998</v>
      </c>
      <c r="R175" s="8">
        <f>(138.3+141.08)*4.5245</f>
        <v>1264.0548099999999</v>
      </c>
      <c r="S175" s="8">
        <f>(138.3+145.6)*4.5337</f>
        <v>1287.1174299999998</v>
      </c>
      <c r="T175" s="8">
        <f>(140.5+146.88)*4.4692</f>
        <v>1284.358696</v>
      </c>
      <c r="U175" s="8">
        <f>(138.6+147.12)*4.4738</f>
        <v>1278.254136</v>
      </c>
      <c r="V175" s="8">
        <f>(136.5+148.77)*4.4774</f>
        <v>1277.267898</v>
      </c>
      <c r="W175" s="8">
        <f>(135+146.1)*4.5115</f>
        <v>1268.18265</v>
      </c>
      <c r="X175" s="8">
        <f>(138.9+146.37)*4.521</f>
        <v>1289.7056699999998</v>
      </c>
      <c r="Y175" s="8">
        <f>(139.9+148.1)*4.4654</f>
        <v>1286.0352</v>
      </c>
      <c r="Z175" s="8">
        <f>(139.8+144.36)*4.4535</f>
        <v>1265.50656</v>
      </c>
      <c r="AA175" s="8">
        <f>(138+143.29)*4.4523</f>
        <v>1252.3874669999998</v>
      </c>
      <c r="AB175" s="8">
        <f>(104.5+141.46)*4.5057</f>
        <v>1108.221972</v>
      </c>
      <c r="AC175" s="8">
        <f>(104.7+140.3)*4.5162</f>
        <v>1106.469</v>
      </c>
      <c r="AD175" s="8">
        <f>(81.92+139.49)*4.5411</f>
        <v>1005.4449510000002</v>
      </c>
      <c r="AE175" s="8">
        <f>(82+140.62)*4.5038</f>
        <v>1002.6359560000001</v>
      </c>
      <c r="AF175" s="8">
        <f>(82.81+138.9)*4.516</f>
        <v>1001.2423600000001</v>
      </c>
      <c r="AG175" s="8">
        <f>(80.68+137.97)*4.5511</f>
        <v>995.098015</v>
      </c>
      <c r="AH175" s="8">
        <f>(80.25+138.56)*4.5333</f>
        <v>991.9313729999999</v>
      </c>
      <c r="AI175" s="8">
        <f>(79.33+136.21)*4.5702</f>
        <v>985.060908</v>
      </c>
      <c r="AJ175" s="8">
        <f>(82.5+136.63)*4.5539</f>
        <v>997.8961069999999</v>
      </c>
      <c r="AK175" s="8">
        <f>(82.4+136.5)*4.5598</f>
        <v>998.14022</v>
      </c>
      <c r="AL175" s="8">
        <f>(77.79+134.43)*4.5906</f>
        <v>974.2171320000002</v>
      </c>
      <c r="AM175" s="8">
        <f>(78.31+134.18)*4.5991</f>
        <v>977.2627590000001</v>
      </c>
      <c r="AN175" s="8">
        <f>(78.09+134.08)*4.5985</f>
        <v>975.663745</v>
      </c>
      <c r="AO175" s="8">
        <f>(78.09+106.25)*4.6422</f>
        <v>855.743148</v>
      </c>
      <c r="AP175" s="8">
        <f>(74.76+84.08)*4.6597</f>
        <v>740.146748</v>
      </c>
      <c r="AQ175" s="8">
        <f>(74.55+84.07)*4.6582</f>
        <v>738.883684</v>
      </c>
      <c r="AR175" s="8">
        <f>(74.29+84.02)*4.6625</f>
        <v>738.120375</v>
      </c>
      <c r="AS175" s="8">
        <f>(72.92+84.11)*4.6576</f>
        <v>731.3829280000001</v>
      </c>
      <c r="AT175" s="8">
        <f>(72.92+84.11)*4.6576</f>
        <v>731.3829280000001</v>
      </c>
      <c r="AU175" s="8">
        <f>(81.49+88.896)*4.6485</f>
        <v>792.0393210000001</v>
      </c>
      <c r="AV175" s="8">
        <f>(81.53+91.928)*4.6611</f>
        <v>808.5050838000001</v>
      </c>
      <c r="AW175" s="8">
        <f>(82.03+92.349)*4.6283</f>
        <v>807.0783257000002</v>
      </c>
      <c r="AX175" s="8">
        <f>(98.382+81.74)*4.644</f>
        <v>836.486568</v>
      </c>
      <c r="AY175" s="8">
        <f>(95.981+81.51)*4.6637</f>
        <v>827.7647767</v>
      </c>
      <c r="AZ175" s="8">
        <f>(95.689+81.43)*4.6668</f>
        <v>826.5789492</v>
      </c>
      <c r="BA175" s="8">
        <f>(95.721+81.63)*4.656</f>
        <v>825.7462559999999</v>
      </c>
      <c r="BB175" s="8">
        <f>(99.59+81.3)*4.6639</f>
        <v>843.6528709999999</v>
      </c>
      <c r="BC175" s="8">
        <f>(99.74+80.13)*4.6639</f>
        <v>838.895693</v>
      </c>
      <c r="BD175" s="8">
        <f>(102.055+80.24)*4.7416</f>
        <v>864.3699720000001</v>
      </c>
      <c r="BE175" s="8">
        <f>(93.772+79.88)*4.7628</f>
        <v>827.0697456</v>
      </c>
      <c r="BF175" s="8">
        <f>(96.063+73.03)*4.7582</f>
        <v>804.5783126000001</v>
      </c>
      <c r="BG175" s="8">
        <f>(96.255+69.1)*4.7487</f>
        <v>785.2212885</v>
      </c>
    </row>
    <row r="176" spans="1:59" ht="12.75">
      <c r="A176" s="21" t="s">
        <v>31</v>
      </c>
      <c r="B176" s="8">
        <f>B165-B177</f>
        <v>5234.74016</v>
      </c>
      <c r="C176" s="8">
        <f>C165-C177</f>
        <v>5674.78989</v>
      </c>
      <c r="D176" s="8">
        <f>D165-D177</f>
        <v>5970.33047</v>
      </c>
      <c r="E176" s="8">
        <f>E165-E177</f>
        <v>6196.95846</v>
      </c>
      <c r="F176" s="8">
        <f aca="true" t="shared" si="68" ref="F176:AQ176">F165-F175-F177</f>
        <v>5362.832650000001</v>
      </c>
      <c r="G176" s="8">
        <f t="shared" si="68"/>
        <v>5201.82828</v>
      </c>
      <c r="H176" s="8">
        <f t="shared" si="68"/>
        <v>5218.096075</v>
      </c>
      <c r="I176" s="8">
        <f t="shared" si="68"/>
        <v>5241.532377999999</v>
      </c>
      <c r="J176" s="8">
        <f t="shared" si="68"/>
        <v>5234.148150000002</v>
      </c>
      <c r="K176" s="8">
        <f t="shared" si="68"/>
        <v>5248.598874999999</v>
      </c>
      <c r="L176" s="8">
        <f t="shared" si="68"/>
        <v>3564.0374499999994</v>
      </c>
      <c r="M176" s="8">
        <f t="shared" si="68"/>
        <v>3509.2941000000005</v>
      </c>
      <c r="N176" s="8">
        <f t="shared" si="68"/>
        <v>3688.8368299999997</v>
      </c>
      <c r="O176" s="8">
        <f t="shared" si="68"/>
        <v>3683.0861300000006</v>
      </c>
      <c r="P176" s="8">
        <f t="shared" si="68"/>
        <v>3704.4327599999997</v>
      </c>
      <c r="Q176" s="8">
        <f t="shared" si="68"/>
        <v>3688.4016000000006</v>
      </c>
      <c r="R176" s="8">
        <f t="shared" si="68"/>
        <v>3775.72245</v>
      </c>
      <c r="S176" s="8">
        <f t="shared" si="68"/>
        <v>3898.5286299999993</v>
      </c>
      <c r="T176" s="8">
        <f t="shared" si="68"/>
        <v>3682.6207999999992</v>
      </c>
      <c r="U176" s="8">
        <f t="shared" si="68"/>
        <v>3651.06818</v>
      </c>
      <c r="V176" s="8">
        <f t="shared" si="68"/>
        <v>3624.4553</v>
      </c>
      <c r="W176" s="8">
        <f t="shared" si="68"/>
        <v>3639.8782</v>
      </c>
      <c r="X176" s="8">
        <f t="shared" si="68"/>
        <v>3589.2219</v>
      </c>
      <c r="Y176" s="8">
        <f t="shared" si="68"/>
        <v>3553.11878</v>
      </c>
      <c r="Z176" s="8">
        <f t="shared" si="68"/>
        <v>3530.2894499999998</v>
      </c>
      <c r="AA176" s="8">
        <f t="shared" si="68"/>
        <v>3495.5007300000007</v>
      </c>
      <c r="AB176" s="8">
        <f t="shared" si="68"/>
        <v>3518.275845</v>
      </c>
      <c r="AC176" s="8">
        <f t="shared" si="68"/>
        <v>3504.5712000000003</v>
      </c>
      <c r="AD176" s="8">
        <f>AD165-AD175-AD177</f>
        <v>3674.3402429999996</v>
      </c>
      <c r="AE176" s="8">
        <f t="shared" si="68"/>
        <v>3436.8497800000005</v>
      </c>
      <c r="AF176" s="8">
        <f t="shared" si="68"/>
        <v>3431.2116399999995</v>
      </c>
      <c r="AG176" s="8">
        <f t="shared" si="68"/>
        <v>3418.9683640000007</v>
      </c>
      <c r="AH176" s="8">
        <f t="shared" si="68"/>
        <v>3389.0950799999996</v>
      </c>
      <c r="AI176" s="8">
        <f t="shared" si="68"/>
        <v>3345.432102</v>
      </c>
      <c r="AJ176" s="8">
        <f t="shared" si="68"/>
        <v>3408.047681999999</v>
      </c>
      <c r="AK176" s="8">
        <f t="shared" si="68"/>
        <v>3375.8935279999996</v>
      </c>
      <c r="AL176" s="8">
        <f t="shared" si="68"/>
        <v>3413.7996900000003</v>
      </c>
      <c r="AM176" s="8">
        <f t="shared" si="68"/>
        <v>3368.150885</v>
      </c>
      <c r="AN176" s="8">
        <f t="shared" si="68"/>
        <v>3406.9826649999995</v>
      </c>
      <c r="AO176" s="8">
        <f t="shared" si="68"/>
        <v>3410.9492940000005</v>
      </c>
      <c r="AP176" s="8">
        <f t="shared" si="68"/>
        <v>3432.843013999999</v>
      </c>
      <c r="AQ176" s="8">
        <f t="shared" si="68"/>
        <v>3331.917296</v>
      </c>
      <c r="AR176" s="8">
        <f>AR165-AR175-AR177</f>
        <v>3320.1662499999998</v>
      </c>
      <c r="AS176" s="8">
        <f aca="true" t="shared" si="69" ref="AS176:BD176">AS165-AS175</f>
        <v>3279.3230080000003</v>
      </c>
      <c r="AT176" s="8">
        <f t="shared" si="69"/>
        <v>3351.7702099999997</v>
      </c>
      <c r="AU176" s="8">
        <f t="shared" si="69"/>
        <v>3229.787097</v>
      </c>
      <c r="AV176" s="8">
        <f t="shared" si="69"/>
        <v>3193.1564715</v>
      </c>
      <c r="AW176" s="8">
        <f t="shared" si="69"/>
        <v>3165.0166720000007</v>
      </c>
      <c r="AX176" s="8">
        <f t="shared" si="69"/>
        <v>3160.896804</v>
      </c>
      <c r="AY176" s="8">
        <f t="shared" si="69"/>
        <v>3146.0294186</v>
      </c>
      <c r="AZ176" s="8">
        <f t="shared" si="69"/>
        <v>3138.6190056</v>
      </c>
      <c r="BA176" s="8">
        <f t="shared" si="69"/>
        <v>3095.8349279999998</v>
      </c>
      <c r="BB176" s="8">
        <f>BB165-BB175</f>
        <v>3138.524866</v>
      </c>
      <c r="BC176" s="8">
        <f t="shared" si="69"/>
        <v>3241.886383</v>
      </c>
      <c r="BD176" s="8">
        <f t="shared" si="69"/>
        <v>3310.5519288</v>
      </c>
      <c r="BE176" s="8">
        <f>BE165-BE175</f>
        <v>3282.7646628</v>
      </c>
      <c r="BF176" s="8">
        <f>BF165-BF175</f>
        <v>3262.0506247999997</v>
      </c>
      <c r="BG176" s="8">
        <f>BG165-BG175</f>
        <v>3223.9446657000003</v>
      </c>
    </row>
    <row r="177" spans="1:59" ht="12.75">
      <c r="A177" s="21" t="s">
        <v>32</v>
      </c>
      <c r="B177" s="8">
        <f>19.8*4.2848</f>
        <v>84.83904</v>
      </c>
      <c r="C177" s="8">
        <f>9*4.3197</f>
        <v>38.8773</v>
      </c>
      <c r="D177" s="8">
        <f>5.1*4.4287</f>
        <v>22.58637</v>
      </c>
      <c r="E177" s="8">
        <f>3.7*4.4847</f>
        <v>16.593390000000003</v>
      </c>
      <c r="F177" s="8">
        <f>2.9*4.4821</f>
        <v>12.99809</v>
      </c>
      <c r="G177" s="8">
        <f>3.1*4.4424</f>
        <v>13.77144</v>
      </c>
      <c r="H177" s="8">
        <f>3.1*4.4381</f>
        <v>13.758110000000002</v>
      </c>
      <c r="I177" s="8">
        <f>2.5*4.4098</f>
        <v>11.0245</v>
      </c>
      <c r="J177" s="8">
        <f>2.4*4.4198</f>
        <v>10.607520000000001</v>
      </c>
      <c r="K177" s="8">
        <f>2.4*4.4395</f>
        <v>10.6548</v>
      </c>
      <c r="L177" s="8">
        <f>2.4*4.4735</f>
        <v>10.736399999999998</v>
      </c>
      <c r="M177" s="8">
        <f>2.4*4.407</f>
        <v>10.5768</v>
      </c>
      <c r="N177" s="8">
        <f>2.4*4.4321</f>
        <v>10.63704</v>
      </c>
      <c r="O177" s="8">
        <f>1.6*4.4167</f>
        <v>7.06672</v>
      </c>
      <c r="P177" s="8">
        <f>1.6*4.4322</f>
        <v>7.09152</v>
      </c>
      <c r="Q177" s="8">
        <f>1.7*4.446</f>
        <v>7.558199999999999</v>
      </c>
      <c r="R177" s="8">
        <f>1.6*4.5245</f>
        <v>7.2392</v>
      </c>
      <c r="S177" s="8">
        <f>1.6*4.5337</f>
        <v>7.25392</v>
      </c>
      <c r="T177" s="8">
        <f>1.6*4.4692</f>
        <v>7.15072</v>
      </c>
      <c r="U177" s="8">
        <f>0.8*4.4738</f>
        <v>3.57904</v>
      </c>
      <c r="V177" s="8">
        <f>0.8*4.4774</f>
        <v>3.58192</v>
      </c>
      <c r="W177" s="8">
        <f>0.8*4.5115</f>
        <v>3.6092</v>
      </c>
      <c r="X177" s="8">
        <f>0.8*4.521</f>
        <v>3.6168</v>
      </c>
      <c r="Y177" s="8">
        <f>0.8*4.4654</f>
        <v>3.57232</v>
      </c>
      <c r="Z177" s="8">
        <f>0.8*4.4535</f>
        <v>3.5628</v>
      </c>
      <c r="AA177" s="8">
        <f>0*4.4523</f>
        <v>0</v>
      </c>
      <c r="AB177" s="8">
        <f>0*4.5057</f>
        <v>0</v>
      </c>
      <c r="AC177" s="8">
        <f>0*4.5162</f>
        <v>0</v>
      </c>
      <c r="AD177" s="8">
        <f>0*4.5411</f>
        <v>0</v>
      </c>
      <c r="AE177" s="8">
        <f>0*4.5038</f>
        <v>0</v>
      </c>
      <c r="AF177" s="8">
        <f>0*4.5038</f>
        <v>0</v>
      </c>
      <c r="AG177" s="8">
        <f>0*4.5038</f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8">
        <v>0</v>
      </c>
      <c r="BA177" s="8">
        <v>0</v>
      </c>
      <c r="BB177" s="8">
        <v>0</v>
      </c>
      <c r="BC177" s="8">
        <v>0</v>
      </c>
      <c r="BD177" s="8">
        <v>0</v>
      </c>
      <c r="BE177" s="8">
        <v>0</v>
      </c>
      <c r="BF177" s="8">
        <v>0</v>
      </c>
      <c r="BG177" s="8">
        <v>0</v>
      </c>
    </row>
    <row r="178" spans="1:59" ht="12.75">
      <c r="A178" s="21" t="s">
        <v>33</v>
      </c>
      <c r="B178" s="8">
        <v>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0</v>
      </c>
      <c r="AZ178" s="8">
        <v>0</v>
      </c>
      <c r="BA178" s="8">
        <v>0</v>
      </c>
      <c r="BB178" s="8">
        <v>0</v>
      </c>
      <c r="BC178" s="8">
        <v>0</v>
      </c>
      <c r="BD178" s="8">
        <v>0</v>
      </c>
      <c r="BE178" s="8">
        <v>0</v>
      </c>
      <c r="BF178" s="8">
        <v>0</v>
      </c>
      <c r="BG178" s="8">
        <v>0</v>
      </c>
    </row>
    <row r="179" spans="1:59" ht="12.75" customHeight="1" hidden="1">
      <c r="A179" s="61" t="s">
        <v>56</v>
      </c>
      <c r="B179" s="9">
        <f>12876.6-B126</f>
        <v>5468.280000000001</v>
      </c>
      <c r="C179" s="17">
        <f>14098.9-C126</f>
        <v>6004.71</v>
      </c>
      <c r="D179" s="17">
        <f aca="true" t="shared" si="70" ref="D179:BE179">D49-D126</f>
        <v>6471.66684</v>
      </c>
      <c r="E179" s="17">
        <f t="shared" si="70"/>
        <v>6691.941849999999</v>
      </c>
      <c r="F179" s="17">
        <f t="shared" si="70"/>
        <v>7029.4227660000015</v>
      </c>
      <c r="G179" s="17">
        <f t="shared" si="70"/>
        <v>6459.2288560000015</v>
      </c>
      <c r="H179" s="17">
        <f t="shared" si="70"/>
        <v>6459.730060999998</v>
      </c>
      <c r="I179" s="17">
        <f t="shared" si="70"/>
        <v>6564.524879999999</v>
      </c>
      <c r="J179" s="17">
        <f t="shared" si="70"/>
        <v>6461.785864000001</v>
      </c>
      <c r="K179" s="17">
        <f t="shared" si="70"/>
        <v>6478.564284999999</v>
      </c>
      <c r="L179" s="17">
        <f t="shared" si="70"/>
        <v>4382.718469999998</v>
      </c>
      <c r="M179" s="17">
        <f t="shared" si="70"/>
        <v>4166.81738</v>
      </c>
      <c r="N179" s="17">
        <f t="shared" si="70"/>
        <v>4343.465467</v>
      </c>
      <c r="O179" s="17">
        <f t="shared" si="70"/>
        <v>4395.451000000001</v>
      </c>
      <c r="P179" s="17">
        <f t="shared" si="70"/>
        <v>4345.818461999999</v>
      </c>
      <c r="Q179" s="17">
        <f t="shared" si="70"/>
        <v>4279.734039999999</v>
      </c>
      <c r="R179" s="17">
        <f t="shared" si="70"/>
        <v>4647.196459999999</v>
      </c>
      <c r="S179" s="17">
        <f t="shared" si="70"/>
        <v>4683.179980000001</v>
      </c>
      <c r="T179" s="17">
        <f t="shared" si="70"/>
        <v>15666.530216</v>
      </c>
      <c r="U179" s="17">
        <f t="shared" si="70"/>
        <v>15699.201356</v>
      </c>
      <c r="V179" s="17">
        <f t="shared" si="70"/>
        <v>15532.705118</v>
      </c>
      <c r="W179" s="17">
        <f t="shared" si="70"/>
        <v>15492.270049999997</v>
      </c>
      <c r="X179" s="17">
        <f t="shared" si="70"/>
        <v>15502.944370000001</v>
      </c>
      <c r="Y179" s="17">
        <f t="shared" si="70"/>
        <v>15332.1263</v>
      </c>
      <c r="Z179" s="17">
        <f t="shared" si="70"/>
        <v>15244.158809999999</v>
      </c>
      <c r="AA179" s="17">
        <f t="shared" si="70"/>
        <v>15303.388197</v>
      </c>
      <c r="AB179" s="17">
        <f t="shared" si="70"/>
        <v>15034.397817</v>
      </c>
      <c r="AC179" s="17">
        <f t="shared" si="70"/>
        <v>15021.1402</v>
      </c>
      <c r="AD179" s="17">
        <f t="shared" si="70"/>
        <v>15539.485194</v>
      </c>
      <c r="AE179" s="17">
        <f t="shared" si="70"/>
        <v>14919.385736</v>
      </c>
      <c r="AF179" s="17">
        <f t="shared" si="70"/>
        <v>14932.554</v>
      </c>
      <c r="AG179" s="9">
        <f t="shared" si="70"/>
        <v>15310.166379</v>
      </c>
      <c r="AH179" s="9">
        <f t="shared" si="70"/>
        <v>15095.526452999999</v>
      </c>
      <c r="AI179" s="9">
        <f t="shared" si="70"/>
        <v>14923.99301</v>
      </c>
      <c r="AJ179" s="9">
        <f>AJ49-AJ126</f>
        <v>15075.143789</v>
      </c>
      <c r="AK179" s="9">
        <f t="shared" si="70"/>
        <v>14931.033748</v>
      </c>
      <c r="AL179" s="9">
        <f t="shared" si="70"/>
        <v>14949.116822</v>
      </c>
      <c r="AM179" s="9">
        <f t="shared" si="70"/>
        <v>14987.563644</v>
      </c>
      <c r="AN179" s="9">
        <f t="shared" si="70"/>
        <v>14932.24641</v>
      </c>
      <c r="AO179" s="9">
        <f t="shared" si="70"/>
        <v>14860.392441999998</v>
      </c>
      <c r="AP179" s="9">
        <f t="shared" si="70"/>
        <v>14758.789761999999</v>
      </c>
      <c r="AQ179" s="9">
        <f t="shared" si="70"/>
        <v>14556.60098</v>
      </c>
      <c r="AR179" s="9">
        <f t="shared" si="70"/>
        <v>14489.486625000001</v>
      </c>
      <c r="AS179" s="9">
        <f t="shared" si="70"/>
        <v>14523.705936</v>
      </c>
      <c r="AT179" s="9">
        <f t="shared" si="70"/>
        <v>15004.353138</v>
      </c>
      <c r="AU179" s="9">
        <f t="shared" si="70"/>
        <v>14357.526418000001</v>
      </c>
      <c r="AV179" s="9">
        <f t="shared" si="70"/>
        <v>14435.761555300001</v>
      </c>
      <c r="AW179" s="9">
        <f t="shared" si="70"/>
        <v>14253.6949977</v>
      </c>
      <c r="AX179" s="9">
        <f t="shared" si="70"/>
        <v>14459.983372</v>
      </c>
      <c r="AY179" s="9">
        <f t="shared" si="70"/>
        <v>14461.194195299999</v>
      </c>
      <c r="AZ179" s="9">
        <f t="shared" si="70"/>
        <v>14379.9979548</v>
      </c>
      <c r="BA179" s="9">
        <f t="shared" si="70"/>
        <v>14332.481183999998</v>
      </c>
      <c r="BB179" s="9">
        <f t="shared" si="70"/>
        <v>14114.077737</v>
      </c>
      <c r="BC179" s="9">
        <f t="shared" si="70"/>
        <v>14486.682076</v>
      </c>
      <c r="BD179" s="9">
        <f t="shared" si="70"/>
        <v>14618.9219008</v>
      </c>
      <c r="BE179" s="9">
        <f t="shared" si="70"/>
        <v>14484.8344084</v>
      </c>
      <c r="BF179" s="9">
        <f>BF49-BF126</f>
        <v>14383.328937400001</v>
      </c>
      <c r="BG179" s="9">
        <f>BG49-BG126</f>
        <v>14370.6659542</v>
      </c>
    </row>
    <row r="180" spans="1:59" ht="12.75">
      <c r="A180" s="96" t="s">
        <v>62</v>
      </c>
      <c r="B180" s="8">
        <f aca="true" t="shared" si="71" ref="B180:O180">B181</f>
        <v>0</v>
      </c>
      <c r="C180" s="8">
        <f t="shared" si="71"/>
        <v>0</v>
      </c>
      <c r="D180" s="8">
        <f t="shared" si="71"/>
        <v>1.5</v>
      </c>
      <c r="E180" s="8">
        <f t="shared" si="71"/>
        <v>0.045</v>
      </c>
      <c r="F180" s="22">
        <f t="shared" si="71"/>
        <v>0</v>
      </c>
      <c r="G180" s="8">
        <f t="shared" si="71"/>
        <v>0</v>
      </c>
      <c r="H180" s="8">
        <f t="shared" si="71"/>
        <v>0</v>
      </c>
      <c r="I180" s="8">
        <f t="shared" si="71"/>
        <v>0</v>
      </c>
      <c r="J180" s="8">
        <f t="shared" si="71"/>
        <v>0</v>
      </c>
      <c r="K180" s="8">
        <f t="shared" si="71"/>
        <v>0</v>
      </c>
      <c r="L180" s="8">
        <f t="shared" si="71"/>
        <v>0</v>
      </c>
      <c r="M180" s="8">
        <f t="shared" si="71"/>
        <v>0</v>
      </c>
      <c r="N180" s="8">
        <f t="shared" si="71"/>
        <v>0</v>
      </c>
      <c r="O180" s="8">
        <f t="shared" si="71"/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  <c r="AZ180" s="8">
        <v>0</v>
      </c>
      <c r="BA180" s="8">
        <v>0</v>
      </c>
      <c r="BB180" s="8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0</v>
      </c>
    </row>
    <row r="181" spans="1:59" ht="12.75">
      <c r="A181" s="60" t="s">
        <v>57</v>
      </c>
      <c r="B181" s="8">
        <v>0</v>
      </c>
      <c r="C181" s="94">
        <v>0</v>
      </c>
      <c r="D181" s="95">
        <v>1.5</v>
      </c>
      <c r="E181" s="22">
        <v>0.045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0</v>
      </c>
      <c r="AP181" s="22">
        <v>0</v>
      </c>
      <c r="AQ181" s="22">
        <v>0</v>
      </c>
      <c r="AR181" s="22">
        <v>0</v>
      </c>
      <c r="AS181" s="22">
        <v>0</v>
      </c>
      <c r="AT181" s="22">
        <v>0</v>
      </c>
      <c r="AU181" s="22">
        <v>0</v>
      </c>
      <c r="AV181" s="22">
        <v>0</v>
      </c>
      <c r="AW181" s="22">
        <v>0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 s="22">
        <v>0</v>
      </c>
      <c r="BE181" s="22">
        <v>0</v>
      </c>
      <c r="BF181" s="22">
        <v>0</v>
      </c>
      <c r="BG181" s="22">
        <v>0</v>
      </c>
    </row>
    <row r="182" spans="1:61" s="23" customFormat="1" ht="11.25" customHeight="1">
      <c r="A182" s="97"/>
      <c r="B182" s="30"/>
      <c r="D182" s="37"/>
      <c r="F182" s="98"/>
      <c r="G182" s="98"/>
      <c r="H182" s="98"/>
      <c r="BG182" s="130"/>
      <c r="BH182" s="99"/>
      <c r="BI182" s="99"/>
    </row>
    <row r="183" spans="9:59" ht="12.75">
      <c r="I183" s="37"/>
      <c r="N183" s="37"/>
      <c r="S183" s="37"/>
      <c r="X183" s="37"/>
      <c r="AC183" s="37"/>
      <c r="BG183" s="130"/>
    </row>
    <row r="184" spans="9:29" ht="12.75">
      <c r="I184" s="37"/>
      <c r="N184" s="37"/>
      <c r="S184" s="37"/>
      <c r="X184" s="37"/>
      <c r="AC184" s="37"/>
    </row>
    <row r="185" spans="9:29" ht="12.75">
      <c r="I185" s="37"/>
      <c r="N185" s="37"/>
      <c r="S185" s="37"/>
      <c r="X185" s="37"/>
      <c r="AC185" s="37"/>
    </row>
    <row r="186" spans="9:29" ht="12.75">
      <c r="I186" s="37"/>
      <c r="N186" s="37"/>
      <c r="S186" s="37"/>
      <c r="X186" s="37"/>
      <c r="AC186" s="37"/>
    </row>
    <row r="187" spans="1:60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10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>
        <f>AV133/4.6611</f>
        <v>31852.781532256333</v>
      </c>
      <c r="AW187" s="30">
        <f>AW133/4.6283</f>
        <v>31922.246</v>
      </c>
      <c r="AX187" s="30">
        <f>AX133/4.644</f>
        <v>31862.489</v>
      </c>
      <c r="AY187" s="30">
        <f>AY133/4.6637</f>
        <v>31704.605000000003</v>
      </c>
      <c r="AZ187" s="30">
        <f>AZ133/4.6668</f>
        <v>33446.57</v>
      </c>
      <c r="BA187" s="30">
        <f>BA133/4.656</f>
        <v>33421.77</v>
      </c>
      <c r="BB187" s="30">
        <f>BB133/4.6639</f>
        <v>33834.52</v>
      </c>
      <c r="BC187" s="30">
        <f>BC133/4.7348</f>
        <v>33334.732</v>
      </c>
      <c r="BD187" s="30">
        <f>BD133/4.7416</f>
        <v>33502.917</v>
      </c>
      <c r="BE187" s="30">
        <f>BE133/4.7628</f>
        <v>33236.056</v>
      </c>
      <c r="BF187" s="30">
        <f>BF133/4.7582</f>
        <v>34478.74799999999</v>
      </c>
      <c r="BG187" s="30">
        <f>BG133/4.7487</f>
        <v>34531.88</v>
      </c>
      <c r="BH187" s="57"/>
    </row>
    <row r="188" spans="1:59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>
        <f>31362.442+70.8+416.89</f>
        <v>31850.131999999998</v>
      </c>
      <c r="AW188" s="30">
        <f>31267.036+70.77+584.44</f>
        <v>31922.246</v>
      </c>
      <c r="AX188" s="30">
        <f>31242.499+70.77+549.19</f>
        <v>31862.459</v>
      </c>
      <c r="AY188" s="30">
        <f>31057.145+68.72+580.73</f>
        <v>31706.595</v>
      </c>
      <c r="AZ188" s="30">
        <f>32900.81+64.65+481.11</f>
        <v>33446.57</v>
      </c>
      <c r="BA188" s="30">
        <f>32841.13+64.64+516</f>
        <v>33421.77</v>
      </c>
      <c r="BB188" s="30">
        <f>32827.99+58.369-0.089+241.45</f>
        <v>33127.719999999994</v>
      </c>
      <c r="BC188" s="30">
        <f>32814.079+58.273+462.38</f>
        <v>33334.731999999996</v>
      </c>
      <c r="BD188" s="30">
        <f>32820.315+58.292+624.31</f>
        <v>33502.917</v>
      </c>
      <c r="BE188" s="30">
        <f>32874.651+56.236+305.17</f>
        <v>33236.05699999999</v>
      </c>
      <c r="BF188" s="30">
        <f>34831.058+56.24-408.55</f>
        <v>34478.74799999999</v>
      </c>
      <c r="BG188" s="101">
        <f>34840.845+56.257-365.23</f>
        <v>34531.871999999996</v>
      </c>
    </row>
    <row r="189" spans="1:59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</row>
    <row r="190" spans="1:59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 t="s">
        <v>96</v>
      </c>
      <c r="AG190" s="30" t="s">
        <v>96</v>
      </c>
      <c r="AH190" s="30" t="s">
        <v>96</v>
      </c>
      <c r="AI190" s="30" t="s">
        <v>96</v>
      </c>
      <c r="AJ190" s="30" t="s">
        <v>96</v>
      </c>
      <c r="AK190" s="30" t="s">
        <v>96</v>
      </c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</row>
    <row r="191" spans="1:59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>
        <f>AF133/4.516</f>
        <v>30124.120000000003</v>
      </c>
      <c r="AG191" s="30">
        <f>AG133/4.5511</f>
        <v>30390.69675463075</v>
      </c>
      <c r="AH191" s="30">
        <f>AH133/4.5333</f>
        <v>32010.420000000006</v>
      </c>
      <c r="AI191" s="30">
        <f>AI133/4.5702</f>
        <v>31974.669999999995</v>
      </c>
      <c r="AJ191" s="30">
        <f>AJ133/4.5539</f>
        <v>31541.755418432556</v>
      </c>
      <c r="AK191" s="30">
        <f>AK133/4.5598</f>
        <v>31494.970000000005</v>
      </c>
      <c r="AL191" s="30">
        <f>AL133/4.5906</f>
        <v>31868.53</v>
      </c>
      <c r="AM191" s="30">
        <f>AM133/4.5991</f>
        <v>30758.052014742017</v>
      </c>
      <c r="AN191" s="30">
        <f>AN133/4.5985</f>
        <v>31754.4</v>
      </c>
      <c r="AO191" s="101">
        <f>AO133/4.6422</f>
        <v>31423.992</v>
      </c>
      <c r="AP191" s="101"/>
      <c r="AQ191" s="101">
        <f>AQ133/4.6582</f>
        <v>31170.050000000003</v>
      </c>
      <c r="AR191" s="101"/>
      <c r="AS191" s="101">
        <f>31852.76+77.17-131.58</f>
        <v>31798.349999999995</v>
      </c>
      <c r="AT191" s="101">
        <f>31916.1+76.8-130.75</f>
        <v>31862.149999999998</v>
      </c>
      <c r="AU191" s="101">
        <f>32053.512+72.812+4.17-304.05</f>
        <v>31826.444</v>
      </c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</row>
    <row r="192" spans="1:59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>
        <f>30410.9+379.9-666.68</f>
        <v>30124.120000000003</v>
      </c>
      <c r="AG192" s="30">
        <f>30318.95+375.89-46.94</f>
        <v>30647.9</v>
      </c>
      <c r="AH192" s="30">
        <f>31874.04+371.4-235.02</f>
        <v>32010.420000000002</v>
      </c>
      <c r="AI192" s="30">
        <f>31669.38+366-60.72</f>
        <v>31974.66</v>
      </c>
      <c r="AJ192" s="30">
        <f>31493.67+338.5-83.57</f>
        <v>31748.6</v>
      </c>
      <c r="AK192" s="30">
        <f>31318.2+333.5-156.73</f>
        <v>31494.97</v>
      </c>
      <c r="AL192" s="30">
        <f>31686.98+329.3-147.75</f>
        <v>31868.53</v>
      </c>
      <c r="AM192" s="30">
        <f>30545.2+328.96+120.23</f>
        <v>30994.39</v>
      </c>
      <c r="AN192" s="30">
        <f>31580.41+327.15-153.16</f>
        <v>31754.4</v>
      </c>
      <c r="AO192" s="30">
        <f>31430.79+317.4-324.2</f>
        <v>31423.99</v>
      </c>
      <c r="AP192" s="30"/>
      <c r="AQ192" s="30">
        <f>31039.5+298.6-168.05</f>
        <v>31170.05</v>
      </c>
      <c r="AR192" s="30"/>
      <c r="AS192" s="101">
        <f>AS133/4.6576</f>
        <v>31798.347999999998</v>
      </c>
      <c r="AT192" s="101">
        <f>AT133/4.6589</f>
        <v>31862.149999999994</v>
      </c>
      <c r="AU192" s="101">
        <f>AU133/4.6485</f>
        <v>31826.443999999996</v>
      </c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</row>
    <row r="193" spans="1:59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28" t="s">
        <v>95</v>
      </c>
      <c r="AG193" s="28" t="s">
        <v>95</v>
      </c>
      <c r="AH193" s="28" t="s">
        <v>95</v>
      </c>
      <c r="AI193" s="28" t="s">
        <v>95</v>
      </c>
      <c r="AJ193" s="28" t="s">
        <v>95</v>
      </c>
      <c r="AK193" s="28" t="s">
        <v>95</v>
      </c>
      <c r="AL193" s="28" t="s">
        <v>104</v>
      </c>
      <c r="AM193" s="28" t="s">
        <v>104</v>
      </c>
      <c r="AN193" s="28" t="s">
        <v>95</v>
      </c>
      <c r="AO193" s="28" t="s">
        <v>95</v>
      </c>
      <c r="AP193" s="28"/>
      <c r="AQ193" s="28" t="s">
        <v>95</v>
      </c>
      <c r="AR193" s="28"/>
      <c r="AS193" s="28" t="s">
        <v>95</v>
      </c>
      <c r="AT193" s="102" t="s">
        <v>95</v>
      </c>
      <c r="AU193" s="102" t="s">
        <v>95</v>
      </c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</row>
    <row r="194" spans="4:27" ht="12.75">
      <c r="D194" s="11"/>
      <c r="H194" s="37"/>
      <c r="M194" s="37"/>
      <c r="V194" s="37"/>
      <c r="AA194" s="37"/>
    </row>
    <row r="195" spans="4:27" ht="12.75">
      <c r="D195" s="11"/>
      <c r="H195" s="37"/>
      <c r="M195" s="37"/>
      <c r="V195" s="37"/>
      <c r="AA195" s="37"/>
    </row>
    <row r="196" spans="4:68" ht="12.75">
      <c r="D196" s="11"/>
      <c r="H196" s="37"/>
      <c r="M196" s="37"/>
      <c r="V196" s="37"/>
      <c r="AA196" s="37"/>
      <c r="AC196" s="11" t="s">
        <v>66</v>
      </c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103"/>
      <c r="BI196" s="103">
        <v>42125</v>
      </c>
      <c r="BJ196" s="103">
        <v>42156</v>
      </c>
      <c r="BK196" s="104">
        <v>42186</v>
      </c>
      <c r="BL196" s="104">
        <v>42217</v>
      </c>
      <c r="BM196" s="104">
        <v>42248</v>
      </c>
      <c r="BN196" s="105">
        <v>42278</v>
      </c>
      <c r="BO196" s="106" t="s">
        <v>70</v>
      </c>
      <c r="BP196" s="105">
        <v>42339</v>
      </c>
    </row>
    <row r="197" spans="4:68" ht="12.75">
      <c r="D197" s="11"/>
      <c r="H197" s="37"/>
      <c r="M197" s="37"/>
      <c r="V197" s="37"/>
      <c r="AA197" s="37"/>
      <c r="AC197" s="11">
        <v>197063</v>
      </c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107"/>
      <c r="BI197" s="107" t="e">
        <f>AC197+S198+Z198+#REF!</f>
        <v>#REF!</v>
      </c>
      <c r="BJ197" s="107" t="e">
        <f>AC197+S198+Z198+#REF!</f>
        <v>#REF!</v>
      </c>
      <c r="BK197" s="108" t="e">
        <f>AC197+S198+Z198+#REF!</f>
        <v>#REF!</v>
      </c>
      <c r="BL197" s="109"/>
      <c r="BM197" s="109"/>
      <c r="BN197" s="106"/>
      <c r="BO197" s="110" t="e">
        <f>#REF!+Z198+S198+AC197</f>
        <v>#REF!</v>
      </c>
      <c r="BP197" s="110" t="e">
        <f>S198+Z198+#REF!+AC198</f>
        <v>#REF!</v>
      </c>
    </row>
    <row r="198" spans="4:61" ht="12.75">
      <c r="D198" s="11"/>
      <c r="H198" s="37"/>
      <c r="M198" s="37"/>
      <c r="V198" s="37"/>
      <c r="AA198" s="37"/>
      <c r="AC198" s="11">
        <v>199632</v>
      </c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111"/>
      <c r="BI198" s="111"/>
    </row>
    <row r="199" spans="19:61" ht="12.75">
      <c r="S199" s="30"/>
      <c r="T199" s="30"/>
      <c r="U199" s="30"/>
      <c r="V199" s="30"/>
      <c r="W199" s="30"/>
      <c r="X199" s="30"/>
      <c r="Y199" s="30"/>
      <c r="Z199" s="30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112"/>
      <c r="BI199" s="112"/>
    </row>
    <row r="200" spans="19:61" ht="12.75">
      <c r="S200" s="30"/>
      <c r="T200" s="30"/>
      <c r="U200" s="30"/>
      <c r="V200" s="30"/>
      <c r="W200" s="30"/>
      <c r="X200" s="30"/>
      <c r="Y200" s="30"/>
      <c r="Z200" s="30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112"/>
      <c r="BI200" s="112"/>
    </row>
    <row r="201" spans="19:26" ht="12.75">
      <c r="S201" s="30"/>
      <c r="T201" s="30"/>
      <c r="U201" s="30"/>
      <c r="V201" s="30"/>
      <c r="W201" s="30"/>
      <c r="X201" s="30"/>
      <c r="Y201" s="30"/>
      <c r="Z201" s="30"/>
    </row>
    <row r="202" spans="19:26" ht="12.75">
      <c r="S202" s="30"/>
      <c r="T202" s="30"/>
      <c r="U202" s="30"/>
      <c r="V202" s="30"/>
      <c r="W202" s="30"/>
      <c r="X202" s="30"/>
      <c r="Y202" s="30"/>
      <c r="Z202" s="30"/>
    </row>
    <row r="203" spans="19:26" ht="12.75">
      <c r="S203" s="30"/>
      <c r="T203" s="30"/>
      <c r="U203" s="30"/>
      <c r="V203" s="30"/>
      <c r="W203" s="30"/>
      <c r="X203" s="30"/>
      <c r="Y203" s="30"/>
      <c r="Z203" s="30"/>
    </row>
  </sheetData>
  <sheetProtection selectLockedCells="1" selectUnlockedCells="1"/>
  <mergeCells count="179">
    <mergeCell ref="A6:D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A72:AD72"/>
    <mergeCell ref="A76:A78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AB76:AB77"/>
    <mergeCell ref="AC76:AC77"/>
    <mergeCell ref="AD76:AD77"/>
    <mergeCell ref="AE76:AE77"/>
    <mergeCell ref="AF76:AF7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O76:AO77"/>
    <mergeCell ref="AP76:AP77"/>
    <mergeCell ref="AQ76:AQ77"/>
    <mergeCell ref="AR76:AR77"/>
    <mergeCell ref="AS76:AS77"/>
    <mergeCell ref="AT76:AT77"/>
    <mergeCell ref="AU76:AU77"/>
    <mergeCell ref="AV76:AV77"/>
    <mergeCell ref="AW76:AW77"/>
    <mergeCell ref="AX76:AX77"/>
    <mergeCell ref="AY76:AY77"/>
    <mergeCell ref="AZ76:AZ77"/>
    <mergeCell ref="BA76:BA77"/>
    <mergeCell ref="BB76:BB77"/>
    <mergeCell ref="BC76:BC77"/>
    <mergeCell ref="BD76:BD77"/>
    <mergeCell ref="BE76:BE77"/>
    <mergeCell ref="BF76:BF77"/>
    <mergeCell ref="BG76:BG77"/>
    <mergeCell ref="A131:A133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F131:AF132"/>
    <mergeCell ref="AG131:AG132"/>
    <mergeCell ref="AH131:AH132"/>
    <mergeCell ref="AI131:AI132"/>
    <mergeCell ref="AJ131:AJ132"/>
    <mergeCell ref="AK131:AK132"/>
    <mergeCell ref="AL131:AL132"/>
    <mergeCell ref="AM131:AM132"/>
    <mergeCell ref="AN131:AN132"/>
    <mergeCell ref="AO131:AO132"/>
    <mergeCell ref="AP131:AP132"/>
    <mergeCell ref="AQ131:AQ132"/>
    <mergeCell ref="AR131:AR132"/>
    <mergeCell ref="AS131:AS132"/>
    <mergeCell ref="AT131:AT132"/>
    <mergeCell ref="AU131:AU132"/>
    <mergeCell ref="AV131:AV132"/>
    <mergeCell ref="AW131:AW132"/>
    <mergeCell ref="AX131:AX132"/>
    <mergeCell ref="BE131:BE132"/>
    <mergeCell ref="BF131:BF132"/>
    <mergeCell ref="BG131:BG132"/>
    <mergeCell ref="AY131:AY132"/>
    <mergeCell ref="AZ131:AZ132"/>
    <mergeCell ref="BA131:BA132"/>
    <mergeCell ref="BB131:BB132"/>
    <mergeCell ref="BC131:BC132"/>
    <mergeCell ref="BD131:BD132"/>
  </mergeCells>
  <printOptions/>
  <pageMargins left="0.7086614173228347" right="0.7874015748031497" top="0.31496062992125984" bottom="0.4724409448818898" header="0.5118110236220472" footer="0.5118110236220472"/>
  <pageSetup horizontalDpi="600" verticalDpi="600" orientation="portrait" paperSize="9" scale="52" r:id="rId3"/>
  <rowBreaks count="2" manualBreakCount="2">
    <brk id="73" max="255" man="1"/>
    <brk id="12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88"/>
  <sheetViews>
    <sheetView tabSelected="1" view="pageBreakPreview" zoomScale="85" zoomScaleSheetLayoutView="85" zoomScalePageLayoutView="0" workbookViewId="0" topLeftCell="A1">
      <selection activeCell="F143" sqref="F143"/>
    </sheetView>
  </sheetViews>
  <sheetFormatPr defaultColWidth="8.8515625" defaultRowHeight="12.75"/>
  <cols>
    <col min="1" max="1" width="37.00390625" style="11" customWidth="1"/>
    <col min="2" max="2" width="14.8515625" style="11" customWidth="1"/>
    <col min="3" max="3" width="13.28125" style="11" customWidth="1"/>
    <col min="4" max="4" width="13.8515625" style="11" customWidth="1"/>
    <col min="5" max="5" width="16.00390625" style="11" customWidth="1"/>
    <col min="6" max="6" width="16.28125" style="11" customWidth="1"/>
    <col min="7" max="7" width="12.28125" style="38" bestFit="1" customWidth="1"/>
    <col min="8" max="8" width="13.28125" style="11" customWidth="1"/>
    <col min="9" max="9" width="13.421875" style="11" bestFit="1" customWidth="1"/>
    <col min="10" max="10" width="13.57421875" style="11" customWidth="1"/>
    <col min="11" max="11" width="13.7109375" style="11" customWidth="1"/>
    <col min="12" max="12" width="8.7109375" style="11" bestFit="1" customWidth="1"/>
    <col min="13" max="13" width="9.140625" style="11" bestFit="1" customWidth="1"/>
    <col min="14" max="14" width="18.7109375" style="11" customWidth="1"/>
    <col min="15" max="16384" width="8.8515625" style="11" customWidth="1"/>
  </cols>
  <sheetData>
    <row r="2" spans="1:14" ht="12.75">
      <c r="A2" s="39"/>
      <c r="G2" s="111"/>
      <c r="H2" s="68"/>
      <c r="I2" s="184"/>
      <c r="J2" s="68"/>
      <c r="K2" s="68"/>
      <c r="L2" s="68"/>
      <c r="M2" s="68"/>
      <c r="N2" s="68"/>
    </row>
    <row r="3" spans="1:14" ht="12.75">
      <c r="A3" s="39"/>
      <c r="G3" s="68"/>
      <c r="H3" s="185"/>
      <c r="I3" s="68"/>
      <c r="J3" s="185"/>
      <c r="K3" s="68"/>
      <c r="L3" s="68"/>
      <c r="M3" s="68"/>
      <c r="N3" s="68"/>
    </row>
    <row r="4" spans="1:14" ht="12.75">
      <c r="A4" s="41" t="s">
        <v>58</v>
      </c>
      <c r="G4" s="186"/>
      <c r="H4" s="187"/>
      <c r="I4" s="186"/>
      <c r="J4" s="187"/>
      <c r="K4" s="68"/>
      <c r="L4" s="68"/>
      <c r="M4" s="68"/>
      <c r="N4" s="68"/>
    </row>
    <row r="5" spans="1:14" ht="12.75">
      <c r="A5" s="45"/>
      <c r="G5" s="186"/>
      <c r="H5" s="111"/>
      <c r="I5" s="186"/>
      <c r="J5" s="111"/>
      <c r="K5" s="68"/>
      <c r="L5" s="68"/>
      <c r="M5" s="68"/>
      <c r="N5" s="68"/>
    </row>
    <row r="6" spans="1:14" ht="12.75">
      <c r="A6" s="163" t="s">
        <v>153</v>
      </c>
      <c r="E6" s="27"/>
      <c r="G6" s="186"/>
      <c r="H6" s="187"/>
      <c r="I6" s="186"/>
      <c r="J6" s="187"/>
      <c r="K6" s="68"/>
      <c r="L6" s="68"/>
      <c r="M6" s="68"/>
      <c r="N6" s="68"/>
    </row>
    <row r="7" spans="1:14" ht="12.75">
      <c r="A7" s="39"/>
      <c r="G7" s="186"/>
      <c r="H7" s="187"/>
      <c r="I7" s="186"/>
      <c r="J7" s="187"/>
      <c r="K7" s="68"/>
      <c r="L7" s="68"/>
      <c r="M7" s="68"/>
      <c r="N7" s="68"/>
    </row>
    <row r="8" spans="1:14" ht="12.75">
      <c r="A8" s="45"/>
      <c r="B8" s="40"/>
      <c r="C8" s="40"/>
      <c r="D8" s="40"/>
      <c r="E8" s="40"/>
      <c r="F8" s="133"/>
      <c r="G8" s="186"/>
      <c r="H8" s="188"/>
      <c r="I8" s="186"/>
      <c r="J8" s="188"/>
      <c r="K8" s="68"/>
      <c r="L8" s="68"/>
      <c r="M8" s="68"/>
      <c r="N8" s="68"/>
    </row>
    <row r="9" spans="1:14" ht="42" customHeight="1">
      <c r="A9" s="195" t="s">
        <v>1</v>
      </c>
      <c r="B9" s="200">
        <v>2015</v>
      </c>
      <c r="C9" s="200">
        <v>2016</v>
      </c>
      <c r="D9" s="200">
        <v>2017</v>
      </c>
      <c r="E9" s="200" t="s">
        <v>151</v>
      </c>
      <c r="F9" s="216" t="s">
        <v>152</v>
      </c>
      <c r="G9" s="111"/>
      <c r="H9" s="111"/>
      <c r="I9" s="68"/>
      <c r="J9" s="68"/>
      <c r="K9" s="68"/>
      <c r="L9" s="68"/>
      <c r="M9" s="68"/>
      <c r="N9" s="68"/>
    </row>
    <row r="10" spans="1:14" ht="10.5" customHeight="1">
      <c r="A10" s="195"/>
      <c r="B10" s="201"/>
      <c r="C10" s="201"/>
      <c r="D10" s="201"/>
      <c r="E10" s="201"/>
      <c r="F10" s="217"/>
      <c r="G10" s="111"/>
      <c r="H10" s="68"/>
      <c r="I10" s="68"/>
      <c r="J10" s="68"/>
      <c r="K10" s="68"/>
      <c r="L10" s="68"/>
      <c r="M10" s="68"/>
      <c r="N10" s="68"/>
    </row>
    <row r="11" spans="1:14" ht="29.25" customHeight="1">
      <c r="A11" s="51" t="s">
        <v>2</v>
      </c>
      <c r="B11" s="15">
        <v>269151.3</v>
      </c>
      <c r="C11" s="15">
        <v>285553.10000000003</v>
      </c>
      <c r="D11" s="15">
        <v>301158.50000000006</v>
      </c>
      <c r="E11" s="15">
        <v>330487.19999999995</v>
      </c>
      <c r="F11" s="179">
        <v>373509.217075</v>
      </c>
      <c r="G11" s="111"/>
      <c r="H11" s="68"/>
      <c r="I11" s="184"/>
      <c r="J11" s="68"/>
      <c r="K11" s="68"/>
      <c r="L11" s="68"/>
      <c r="M11" s="68"/>
      <c r="N11" s="68"/>
    </row>
    <row r="12" spans="1:14" ht="29.25" customHeight="1">
      <c r="A12" s="51" t="s">
        <v>3</v>
      </c>
      <c r="B12" s="16">
        <v>0.37770956008240386</v>
      </c>
      <c r="C12" s="16">
        <v>0.3732061662321029</v>
      </c>
      <c r="D12" s="16">
        <v>0.35104313343342325</v>
      </c>
      <c r="E12" s="16">
        <v>0.34700578582372377</v>
      </c>
      <c r="F12" s="180">
        <v>0.35243268520187243</v>
      </c>
      <c r="G12" s="111"/>
      <c r="H12" s="68"/>
      <c r="I12" s="68"/>
      <c r="J12" s="68"/>
      <c r="K12" s="68"/>
      <c r="L12" s="68"/>
      <c r="M12" s="68"/>
      <c r="N12" s="68"/>
    </row>
    <row r="13" spans="1:14" ht="12.75">
      <c r="A13" s="55" t="s">
        <v>4</v>
      </c>
      <c r="B13" s="7"/>
      <c r="C13" s="7"/>
      <c r="D13" s="7"/>
      <c r="E13" s="7"/>
      <c r="F13" s="162"/>
      <c r="G13" s="111"/>
      <c r="H13" s="68"/>
      <c r="I13" s="68"/>
      <c r="J13" s="68"/>
      <c r="K13" s="68"/>
      <c r="L13" s="68"/>
      <c r="M13" s="68"/>
      <c r="N13" s="68"/>
    </row>
    <row r="14" spans="1:14" ht="12.75">
      <c r="A14" s="21" t="s">
        <v>5</v>
      </c>
      <c r="B14" s="7"/>
      <c r="C14" s="7"/>
      <c r="D14" s="7"/>
      <c r="E14" s="7"/>
      <c r="F14" s="162"/>
      <c r="G14" s="111"/>
      <c r="H14" s="68"/>
      <c r="I14" s="68"/>
      <c r="J14" s="111"/>
      <c r="K14" s="68"/>
      <c r="L14" s="68"/>
      <c r="M14" s="68"/>
      <c r="N14" s="68"/>
    </row>
    <row r="15" spans="1:14" ht="12.75">
      <c r="A15" s="21" t="s">
        <v>6</v>
      </c>
      <c r="B15" s="7">
        <v>17091.21436</v>
      </c>
      <c r="C15" s="7">
        <v>19589.644565000002</v>
      </c>
      <c r="D15" s="7">
        <v>15174.628405000001</v>
      </c>
      <c r="E15" s="7">
        <v>10844.654924</v>
      </c>
      <c r="F15" s="143">
        <v>11649.560276</v>
      </c>
      <c r="G15" s="112"/>
      <c r="H15" s="26"/>
      <c r="I15" s="26"/>
      <c r="J15" s="26"/>
      <c r="K15" s="26"/>
      <c r="L15" s="68"/>
      <c r="M15" s="68"/>
      <c r="N15" s="68"/>
    </row>
    <row r="16" spans="1:14" ht="12.75">
      <c r="A16" s="21" t="s">
        <v>7</v>
      </c>
      <c r="B16" s="7">
        <v>252060.08564</v>
      </c>
      <c r="C16" s="7">
        <v>265963.455435</v>
      </c>
      <c r="D16" s="7">
        <v>285983.87159500003</v>
      </c>
      <c r="E16" s="7">
        <v>319642.545076</v>
      </c>
      <c r="F16" s="143">
        <v>361859.656799</v>
      </c>
      <c r="G16" s="112"/>
      <c r="H16" s="26"/>
      <c r="I16" s="26"/>
      <c r="J16" s="26"/>
      <c r="K16" s="189"/>
      <c r="L16" s="170"/>
      <c r="M16" s="68"/>
      <c r="N16" s="68"/>
    </row>
    <row r="17" spans="1:14" ht="12.75">
      <c r="A17" s="21" t="s">
        <v>8</v>
      </c>
      <c r="B17" s="7"/>
      <c r="C17" s="7"/>
      <c r="D17" s="7"/>
      <c r="E17" s="7"/>
      <c r="F17" s="143"/>
      <c r="G17" s="112"/>
      <c r="H17" s="26"/>
      <c r="I17" s="26"/>
      <c r="J17" s="26"/>
      <c r="K17" s="189"/>
      <c r="L17" s="170"/>
      <c r="M17" s="68"/>
      <c r="N17" s="68"/>
    </row>
    <row r="18" spans="1:14" ht="12.75">
      <c r="A18" s="21" t="s">
        <v>9</v>
      </c>
      <c r="B18" s="7">
        <v>8752.65</v>
      </c>
      <c r="C18" s="7">
        <v>8408.5</v>
      </c>
      <c r="D18" s="7">
        <v>7411.1</v>
      </c>
      <c r="E18" s="7">
        <v>6953.2</v>
      </c>
      <c r="F18" s="143">
        <v>9181.6</v>
      </c>
      <c r="G18" s="112"/>
      <c r="H18" s="190"/>
      <c r="I18" s="26"/>
      <c r="J18" s="26"/>
      <c r="K18" s="189"/>
      <c r="L18" s="170"/>
      <c r="M18" s="68"/>
      <c r="N18" s="68"/>
    </row>
    <row r="19" spans="1:14" ht="12.75">
      <c r="A19" s="21" t="s">
        <v>10</v>
      </c>
      <c r="B19" s="7">
        <v>191607.15000000002</v>
      </c>
      <c r="C19" s="7">
        <v>211568.5</v>
      </c>
      <c r="D19" s="7">
        <v>234343</v>
      </c>
      <c r="E19" s="7">
        <v>270396.55</v>
      </c>
      <c r="F19" s="143">
        <v>313733.1351</v>
      </c>
      <c r="G19" s="111"/>
      <c r="H19" s="111"/>
      <c r="I19" s="111"/>
      <c r="J19" s="68"/>
      <c r="K19" s="191"/>
      <c r="L19" s="170"/>
      <c r="M19" s="68"/>
      <c r="N19" s="68"/>
    </row>
    <row r="20" spans="1:14" ht="12.75">
      <c r="A20" s="60" t="s">
        <v>11</v>
      </c>
      <c r="B20" s="7">
        <v>8193.86436</v>
      </c>
      <c r="C20" s="7">
        <v>10977.144565</v>
      </c>
      <c r="D20" s="7">
        <v>7231.228405</v>
      </c>
      <c r="E20" s="7">
        <v>3482.954924</v>
      </c>
      <c r="F20" s="143">
        <v>1465.760276</v>
      </c>
      <c r="G20" s="111"/>
      <c r="H20" s="26"/>
      <c r="I20" s="68"/>
      <c r="J20" s="68"/>
      <c r="K20" s="191"/>
      <c r="L20" s="170"/>
      <c r="M20" s="68"/>
      <c r="N20" s="68"/>
    </row>
    <row r="21" spans="1:14" ht="12.75">
      <c r="A21" s="21" t="s">
        <v>12</v>
      </c>
      <c r="B21" s="7">
        <v>68791.5</v>
      </c>
      <c r="C21" s="7">
        <v>65576.09999999999</v>
      </c>
      <c r="D21" s="7">
        <v>59404.4</v>
      </c>
      <c r="E21" s="7">
        <v>53137.45</v>
      </c>
      <c r="F21" s="143">
        <v>50594.481975</v>
      </c>
      <c r="G21" s="111"/>
      <c r="H21" s="68"/>
      <c r="I21" s="26"/>
      <c r="J21" s="68"/>
      <c r="K21" s="191"/>
      <c r="L21" s="170"/>
      <c r="M21" s="68"/>
      <c r="N21" s="68"/>
    </row>
    <row r="22" spans="1:14" ht="12.75">
      <c r="A22" s="60" t="s">
        <v>11</v>
      </c>
      <c r="B22" s="7">
        <v>144.7</v>
      </c>
      <c r="C22" s="7">
        <v>204</v>
      </c>
      <c r="D22" s="7">
        <v>532.3</v>
      </c>
      <c r="E22" s="7">
        <v>408.5</v>
      </c>
      <c r="F22" s="143">
        <v>1002.2</v>
      </c>
      <c r="G22" s="188"/>
      <c r="H22" s="68"/>
      <c r="I22" s="68"/>
      <c r="J22" s="68"/>
      <c r="K22" s="191"/>
      <c r="L22" s="170"/>
      <c r="M22" s="68"/>
      <c r="N22" s="68"/>
    </row>
    <row r="23" spans="1:14" ht="12.75">
      <c r="A23" s="21" t="s">
        <v>13</v>
      </c>
      <c r="B23" s="7"/>
      <c r="C23" s="7"/>
      <c r="D23" s="7"/>
      <c r="E23" s="7"/>
      <c r="F23" s="143"/>
      <c r="G23" s="188"/>
      <c r="H23" s="68"/>
      <c r="I23" s="68"/>
      <c r="J23" s="68"/>
      <c r="K23" s="191"/>
      <c r="L23" s="170"/>
      <c r="M23" s="68"/>
      <c r="N23" s="68"/>
    </row>
    <row r="24" spans="1:14" ht="12.75">
      <c r="A24" s="21" t="s">
        <v>14</v>
      </c>
      <c r="B24" s="7">
        <v>124234.338795</v>
      </c>
      <c r="C24" s="7">
        <v>137090.000819</v>
      </c>
      <c r="D24" s="7">
        <v>144947.012938</v>
      </c>
      <c r="E24" s="7">
        <v>164181.008781</v>
      </c>
      <c r="F24" s="162">
        <v>191607.6178797</v>
      </c>
      <c r="G24" s="111"/>
      <c r="H24" s="68"/>
      <c r="I24" s="192"/>
      <c r="J24" s="68"/>
      <c r="K24" s="191"/>
      <c r="L24" s="170"/>
      <c r="M24" s="68"/>
      <c r="N24" s="68"/>
    </row>
    <row r="25" spans="1:14" ht="12.75">
      <c r="A25" s="21" t="s">
        <v>15</v>
      </c>
      <c r="B25" s="7">
        <v>117459.58358899999</v>
      </c>
      <c r="C25" s="7">
        <v>119643.34587859998</v>
      </c>
      <c r="D25" s="7">
        <v>130653.47005499998</v>
      </c>
      <c r="E25" s="7">
        <v>136125.0761577</v>
      </c>
      <c r="F25" s="162">
        <v>150923.48671110003</v>
      </c>
      <c r="G25" s="68"/>
      <c r="H25" s="68"/>
      <c r="I25" s="68"/>
      <c r="J25" s="68"/>
      <c r="K25" s="191"/>
      <c r="L25" s="170"/>
      <c r="M25" s="68"/>
      <c r="N25" s="68"/>
    </row>
    <row r="26" spans="1:14" ht="12.75">
      <c r="A26" s="21" t="s">
        <v>16</v>
      </c>
      <c r="B26" s="7">
        <v>26844.224280499995</v>
      </c>
      <c r="C26" s="7">
        <v>26854.611240500002</v>
      </c>
      <c r="D26" s="7">
        <v>23646.762014999993</v>
      </c>
      <c r="E26" s="7">
        <v>28267.628868000003</v>
      </c>
      <c r="F26" s="162">
        <v>29180.307465</v>
      </c>
      <c r="G26" s="68"/>
      <c r="H26" s="68"/>
      <c r="I26" s="68"/>
      <c r="J26" s="68"/>
      <c r="K26" s="191"/>
      <c r="L26" s="170"/>
      <c r="M26" s="68"/>
      <c r="N26" s="68"/>
    </row>
    <row r="27" spans="1:14" ht="12.75">
      <c r="A27" s="21" t="s">
        <v>17</v>
      </c>
      <c r="B27" s="7">
        <v>613.1833355000017</v>
      </c>
      <c r="C27" s="7">
        <v>1965.2320618999765</v>
      </c>
      <c r="D27" s="7">
        <v>1911.2549920000201</v>
      </c>
      <c r="E27" s="7">
        <v>1913.4861932999484</v>
      </c>
      <c r="F27" s="162">
        <v>1797.705019199977</v>
      </c>
      <c r="G27" s="68"/>
      <c r="H27" s="68"/>
      <c r="I27" s="26"/>
      <c r="J27" s="68"/>
      <c r="K27" s="191"/>
      <c r="L27" s="170"/>
      <c r="M27" s="68"/>
      <c r="N27" s="68"/>
    </row>
    <row r="28" spans="1:14" ht="12.75">
      <c r="A28" s="62" t="s">
        <v>21</v>
      </c>
      <c r="B28" s="1">
        <v>253353.05</v>
      </c>
      <c r="C28" s="1">
        <v>270013.552845</v>
      </c>
      <c r="D28" s="1">
        <v>286399.6</v>
      </c>
      <c r="E28" s="1">
        <v>315943.0327119</v>
      </c>
      <c r="F28" s="181">
        <v>358742.5050765</v>
      </c>
      <c r="G28" s="68"/>
      <c r="H28" s="68"/>
      <c r="I28" s="192"/>
      <c r="J28" s="68"/>
      <c r="K28" s="191"/>
      <c r="L28" s="170"/>
      <c r="M28" s="68"/>
      <c r="N28" s="68"/>
    </row>
    <row r="29" spans="1:14" ht="12.75">
      <c r="A29" s="21" t="s">
        <v>22</v>
      </c>
      <c r="B29" s="8"/>
      <c r="C29" s="8"/>
      <c r="D29" s="8"/>
      <c r="E29" s="129">
        <v>0.3317346642826813</v>
      </c>
      <c r="F29" s="143"/>
      <c r="G29" s="68"/>
      <c r="H29" s="68"/>
      <c r="I29" s="68"/>
      <c r="J29" s="68"/>
      <c r="K29" s="191"/>
      <c r="L29" s="193"/>
      <c r="M29" s="68"/>
      <c r="N29" s="68"/>
    </row>
    <row r="30" spans="1:14" ht="12.75">
      <c r="A30" s="21" t="s">
        <v>23</v>
      </c>
      <c r="B30" s="8">
        <v>17065.78436</v>
      </c>
      <c r="C30" s="8">
        <v>19567.944565</v>
      </c>
      <c r="D30" s="8">
        <v>15148.788405000001</v>
      </c>
      <c r="E30" s="8">
        <v>10827.254924</v>
      </c>
      <c r="F30" s="143">
        <v>11634.960276</v>
      </c>
      <c r="G30" s="68"/>
      <c r="H30" s="68"/>
      <c r="I30" s="68"/>
      <c r="J30" s="68"/>
      <c r="K30" s="191"/>
      <c r="L30" s="193"/>
      <c r="M30" s="68"/>
      <c r="N30" s="68"/>
    </row>
    <row r="31" spans="1:14" ht="12.75">
      <c r="A31" s="21" t="s">
        <v>24</v>
      </c>
      <c r="B31" s="8">
        <v>236287.29917999997</v>
      </c>
      <c r="C31" s="8">
        <v>250445.67024099999</v>
      </c>
      <c r="D31" s="8">
        <v>271250.92183300003</v>
      </c>
      <c r="E31" s="8">
        <v>305115.80271789996</v>
      </c>
      <c r="F31" s="143">
        <v>347107.54480050004</v>
      </c>
      <c r="G31" s="68"/>
      <c r="H31" s="68"/>
      <c r="I31" s="26"/>
      <c r="J31" s="68"/>
      <c r="K31" s="191"/>
      <c r="L31" s="193"/>
      <c r="M31" s="68"/>
      <c r="N31" s="68"/>
    </row>
    <row r="32" spans="1:14" ht="12.75">
      <c r="A32" s="21" t="s">
        <v>25</v>
      </c>
      <c r="B32" s="8"/>
      <c r="C32" s="8"/>
      <c r="D32" s="8"/>
      <c r="E32" s="8"/>
      <c r="F32" s="143"/>
      <c r="G32" s="68"/>
      <c r="H32" s="68"/>
      <c r="I32" s="192"/>
      <c r="J32" s="68"/>
      <c r="K32" s="68"/>
      <c r="L32" s="68"/>
      <c r="M32" s="68"/>
      <c r="N32" s="68"/>
    </row>
    <row r="33" spans="1:14" ht="12.75">
      <c r="A33" s="21" t="s">
        <v>26</v>
      </c>
      <c r="B33" s="8">
        <v>8752.65</v>
      </c>
      <c r="C33" s="8">
        <v>8408.5</v>
      </c>
      <c r="D33" s="8">
        <v>7411.1</v>
      </c>
      <c r="E33" s="8">
        <v>6953.2</v>
      </c>
      <c r="F33" s="143">
        <v>9181.6</v>
      </c>
      <c r="G33" s="68"/>
      <c r="H33" s="68"/>
      <c r="I33" s="68"/>
      <c r="J33" s="68"/>
      <c r="K33" s="68"/>
      <c r="L33" s="68"/>
      <c r="M33" s="68"/>
      <c r="N33" s="68"/>
    </row>
    <row r="34" spans="1:14" ht="12.75">
      <c r="A34" s="21" t="s">
        <v>27</v>
      </c>
      <c r="B34" s="8">
        <v>188621.3</v>
      </c>
      <c r="C34" s="8">
        <v>208637.9</v>
      </c>
      <c r="D34" s="8">
        <v>231486</v>
      </c>
      <c r="E34" s="8">
        <v>267603.45</v>
      </c>
      <c r="F34" s="143">
        <v>310968.623825</v>
      </c>
      <c r="G34" s="68"/>
      <c r="H34" s="68"/>
      <c r="I34" s="68"/>
      <c r="J34" s="68"/>
      <c r="K34" s="68"/>
      <c r="L34" s="184"/>
      <c r="M34" s="68"/>
      <c r="N34" s="68"/>
    </row>
    <row r="35" spans="1:14" ht="15.75" customHeight="1">
      <c r="A35" s="60" t="s">
        <v>11</v>
      </c>
      <c r="B35" s="8">
        <v>8191.83436</v>
      </c>
      <c r="C35" s="8">
        <v>10975.144565</v>
      </c>
      <c r="D35" s="8">
        <v>7231.188405</v>
      </c>
      <c r="E35" s="8">
        <v>3482.954924</v>
      </c>
      <c r="F35" s="143">
        <v>1465.760276</v>
      </c>
      <c r="G35" s="68"/>
      <c r="H35" s="68"/>
      <c r="I35" s="68"/>
      <c r="J35" s="68"/>
      <c r="K35" s="68"/>
      <c r="L35" s="184"/>
      <c r="M35" s="68"/>
      <c r="N35" s="68"/>
    </row>
    <row r="36" spans="1:14" ht="12.75">
      <c r="A36" s="21" t="s">
        <v>28</v>
      </c>
      <c r="B36" s="8">
        <v>55979.1</v>
      </c>
      <c r="C36" s="8">
        <v>52967.152845</v>
      </c>
      <c r="D36" s="8">
        <v>47502.5</v>
      </c>
      <c r="E36" s="8">
        <v>41386.3827119</v>
      </c>
      <c r="F36" s="143">
        <v>38592.2812515</v>
      </c>
      <c r="G36" s="68"/>
      <c r="H36" s="68"/>
      <c r="I36" s="192"/>
      <c r="J36" s="68"/>
      <c r="K36" s="68"/>
      <c r="L36" s="184"/>
      <c r="M36" s="68"/>
      <c r="N36" s="68"/>
    </row>
    <row r="37" spans="1:14" ht="12.75">
      <c r="A37" s="60" t="s">
        <v>11</v>
      </c>
      <c r="B37" s="7">
        <v>121.3</v>
      </c>
      <c r="C37" s="7">
        <v>184.3</v>
      </c>
      <c r="D37" s="7">
        <v>506.5</v>
      </c>
      <c r="E37" s="7">
        <v>391.1</v>
      </c>
      <c r="F37" s="143">
        <v>987.6</v>
      </c>
      <c r="G37" s="68"/>
      <c r="H37" s="68"/>
      <c r="I37" s="68"/>
      <c r="J37" s="68"/>
      <c r="K37" s="68"/>
      <c r="L37" s="184"/>
      <c r="M37" s="68"/>
      <c r="N37" s="68"/>
    </row>
    <row r="38" spans="1:14" ht="12.75">
      <c r="A38" s="21" t="s">
        <v>29</v>
      </c>
      <c r="B38" s="7"/>
      <c r="C38" s="7"/>
      <c r="D38" s="7"/>
      <c r="E38" s="7"/>
      <c r="F38" s="143"/>
      <c r="G38" s="68"/>
      <c r="H38" s="68"/>
      <c r="I38" s="68"/>
      <c r="J38" s="68"/>
      <c r="K38" s="68"/>
      <c r="L38" s="184"/>
      <c r="M38" s="68"/>
      <c r="N38" s="68"/>
    </row>
    <row r="39" spans="1:14" ht="12.75">
      <c r="A39" s="21" t="s">
        <v>30</v>
      </c>
      <c r="B39" s="7">
        <v>111951.5</v>
      </c>
      <c r="C39" s="7">
        <v>126263.375868</v>
      </c>
      <c r="D39" s="7">
        <v>134384.16619000002</v>
      </c>
      <c r="E39" s="7">
        <v>153626.6998326</v>
      </c>
      <c r="F39" s="143">
        <v>180683.1801087</v>
      </c>
      <c r="G39" s="68"/>
      <c r="H39" s="68"/>
      <c r="I39" s="68"/>
      <c r="J39" s="68"/>
      <c r="K39" s="68"/>
      <c r="L39" s="184"/>
      <c r="M39" s="68"/>
      <c r="N39" s="68"/>
    </row>
    <row r="40" spans="1:14" ht="12.75">
      <c r="A40" s="21" t="s">
        <v>31</v>
      </c>
      <c r="B40" s="7">
        <v>112410.80313900001</v>
      </c>
      <c r="C40" s="7">
        <v>114946.74563559999</v>
      </c>
      <c r="D40" s="7">
        <v>126672.040707</v>
      </c>
      <c r="E40" s="7">
        <v>132138.982748</v>
      </c>
      <c r="F40" s="143">
        <v>147084.0124836</v>
      </c>
      <c r="G40" s="68"/>
      <c r="H40" s="68"/>
      <c r="I40" s="68"/>
      <c r="J40" s="68"/>
      <c r="K40" s="68"/>
      <c r="L40" s="184"/>
      <c r="M40" s="68"/>
      <c r="N40" s="68"/>
    </row>
    <row r="41" spans="1:14" ht="12.75">
      <c r="A41" s="21" t="s">
        <v>32</v>
      </c>
      <c r="B41" s="7">
        <v>26795.370919499997</v>
      </c>
      <c r="C41" s="7">
        <v>26838.261240500004</v>
      </c>
      <c r="D41" s="7">
        <v>23643.532014999993</v>
      </c>
      <c r="E41" s="7">
        <v>28263.838868000003</v>
      </c>
      <c r="F41" s="143">
        <v>29177.507465000002</v>
      </c>
      <c r="G41" s="68"/>
      <c r="H41" s="68"/>
      <c r="I41" s="68"/>
      <c r="J41" s="68"/>
      <c r="K41" s="68"/>
      <c r="L41" s="184"/>
      <c r="M41" s="68"/>
      <c r="N41" s="68"/>
    </row>
    <row r="42" spans="1:14" ht="12.75">
      <c r="A42" s="21" t="s">
        <v>33</v>
      </c>
      <c r="B42" s="7">
        <v>2195.4259414999906</v>
      </c>
      <c r="C42" s="7">
        <v>1965.1701008999917</v>
      </c>
      <c r="D42" s="7">
        <v>1699.8610880000087</v>
      </c>
      <c r="E42" s="7">
        <v>1913.4612632999488</v>
      </c>
      <c r="F42" s="143">
        <v>1797.705019200006</v>
      </c>
      <c r="G42" s="68"/>
      <c r="H42" s="68"/>
      <c r="I42" s="68"/>
      <c r="J42" s="68"/>
      <c r="K42" s="68"/>
      <c r="L42" s="184"/>
      <c r="M42" s="68"/>
      <c r="N42" s="68"/>
    </row>
    <row r="43" spans="1:14" ht="12.75">
      <c r="A43" s="62" t="s">
        <v>61</v>
      </c>
      <c r="B43" s="10">
        <v>15798.21646</v>
      </c>
      <c r="C43" s="10">
        <v>15539.485194</v>
      </c>
      <c r="D43" s="10">
        <v>14758.789761999999</v>
      </c>
      <c r="E43" s="10">
        <v>14544.1423581</v>
      </c>
      <c r="F43" s="181">
        <v>14766.7119985</v>
      </c>
      <c r="G43" s="68"/>
      <c r="H43" s="68"/>
      <c r="I43" s="192"/>
      <c r="J43" s="68"/>
      <c r="K43" s="68"/>
      <c r="L43" s="68"/>
      <c r="M43" s="68"/>
      <c r="N43" s="68"/>
    </row>
    <row r="44" spans="1:14" ht="12.75">
      <c r="A44" s="21" t="s">
        <v>22</v>
      </c>
      <c r="B44" s="8"/>
      <c r="C44" s="8"/>
      <c r="D44" s="8"/>
      <c r="E44" s="8"/>
      <c r="F44" s="143"/>
      <c r="G44" s="68"/>
      <c r="H44" s="68"/>
      <c r="I44" s="68"/>
      <c r="J44" s="68"/>
      <c r="K44" s="68"/>
      <c r="L44" s="68"/>
      <c r="M44" s="68"/>
      <c r="N44" s="68"/>
    </row>
    <row r="45" spans="1:14" ht="12.75">
      <c r="A45" s="21" t="s">
        <v>23</v>
      </c>
      <c r="B45" s="8">
        <v>25.43</v>
      </c>
      <c r="C45" s="8">
        <v>21.7</v>
      </c>
      <c r="D45" s="8">
        <v>25.84</v>
      </c>
      <c r="E45" s="8">
        <v>17.4</v>
      </c>
      <c r="F45" s="143">
        <v>14.6</v>
      </c>
      <c r="G45" s="68"/>
      <c r="H45" s="68"/>
      <c r="I45" s="68"/>
      <c r="J45" s="68"/>
      <c r="K45" s="68"/>
      <c r="L45" s="68"/>
      <c r="M45" s="68"/>
      <c r="N45" s="68"/>
    </row>
    <row r="46" spans="1:14" ht="12.75">
      <c r="A46" s="21" t="s">
        <v>24</v>
      </c>
      <c r="B46" s="8">
        <v>15772.78646</v>
      </c>
      <c r="C46" s="8">
        <v>15517.785194</v>
      </c>
      <c r="D46" s="8">
        <v>14732.949761999998</v>
      </c>
      <c r="E46" s="8">
        <v>14526.7423581</v>
      </c>
      <c r="F46" s="143">
        <v>14752.1119985</v>
      </c>
      <c r="G46" s="68"/>
      <c r="H46" s="68"/>
      <c r="I46" s="184"/>
      <c r="J46" s="68"/>
      <c r="K46" s="68"/>
      <c r="L46" s="68"/>
      <c r="M46" s="68"/>
      <c r="N46" s="68"/>
    </row>
    <row r="47" spans="1:14" ht="12.75">
      <c r="A47" s="21" t="s">
        <v>25</v>
      </c>
      <c r="B47" s="117">
        <v>15798.216460000001</v>
      </c>
      <c r="C47" s="117">
        <v>15539.485194</v>
      </c>
      <c r="D47" s="117">
        <v>14758.789761999999</v>
      </c>
      <c r="E47" s="117">
        <v>14544.142358099998</v>
      </c>
      <c r="F47" s="182">
        <v>14766.711998499999</v>
      </c>
      <c r="G47" s="68"/>
      <c r="H47" s="68"/>
      <c r="I47" s="68"/>
      <c r="J47" s="68"/>
      <c r="K47" s="68"/>
      <c r="L47" s="68"/>
      <c r="M47" s="68"/>
      <c r="N47" s="68"/>
    </row>
    <row r="48" spans="1:14" ht="12.75">
      <c r="A48" s="21" t="s">
        <v>27</v>
      </c>
      <c r="B48" s="8">
        <v>2985.81646</v>
      </c>
      <c r="C48" s="8">
        <v>2930.538039</v>
      </c>
      <c r="D48" s="8">
        <v>2856.98554</v>
      </c>
      <c r="E48" s="8">
        <v>2793.07507</v>
      </c>
      <c r="F48" s="143">
        <v>2764.511275</v>
      </c>
      <c r="G48" s="111"/>
      <c r="H48" s="68"/>
      <c r="I48" s="68"/>
      <c r="J48" s="68"/>
      <c r="K48" s="68"/>
      <c r="L48" s="68"/>
      <c r="M48" s="68"/>
      <c r="N48" s="68"/>
    </row>
    <row r="49" spans="1:14" ht="12.75">
      <c r="A49" s="60" t="s">
        <v>11</v>
      </c>
      <c r="B49" s="8">
        <v>2.03</v>
      </c>
      <c r="C49" s="8">
        <v>2</v>
      </c>
      <c r="D49" s="8">
        <v>0.04</v>
      </c>
      <c r="E49" s="8">
        <v>0</v>
      </c>
      <c r="F49" s="143">
        <v>0</v>
      </c>
      <c r="G49" s="111"/>
      <c r="H49" s="68"/>
      <c r="I49" s="68"/>
      <c r="J49" s="68"/>
      <c r="K49" s="68"/>
      <c r="L49" s="68"/>
      <c r="M49" s="68"/>
      <c r="N49" s="68"/>
    </row>
    <row r="50" spans="1:14" ht="12.75">
      <c r="A50" s="21" t="s">
        <v>28</v>
      </c>
      <c r="B50" s="8">
        <v>12812.400000000001</v>
      </c>
      <c r="C50" s="8">
        <v>12608.947155</v>
      </c>
      <c r="D50" s="8">
        <v>11901.804221999999</v>
      </c>
      <c r="E50" s="8">
        <v>11751.0672881</v>
      </c>
      <c r="F50" s="143">
        <v>12002.2007235</v>
      </c>
      <c r="G50" s="111"/>
      <c r="H50" s="68"/>
      <c r="I50" s="68"/>
      <c r="J50" s="68"/>
      <c r="K50" s="68"/>
      <c r="L50" s="68"/>
      <c r="M50" s="68"/>
      <c r="N50" s="68"/>
    </row>
    <row r="51" spans="1:14" ht="12.75">
      <c r="A51" s="60" t="s">
        <v>11</v>
      </c>
      <c r="B51" s="8">
        <v>23.4</v>
      </c>
      <c r="C51" s="8">
        <v>19.7</v>
      </c>
      <c r="D51" s="8">
        <v>25.8</v>
      </c>
      <c r="E51" s="8">
        <v>17.4</v>
      </c>
      <c r="F51" s="143">
        <v>14.6</v>
      </c>
      <c r="G51" s="111"/>
      <c r="H51" s="68"/>
      <c r="I51" s="68"/>
      <c r="J51" s="68"/>
      <c r="K51" s="68"/>
      <c r="L51" s="68"/>
      <c r="M51" s="68"/>
      <c r="N51" s="68"/>
    </row>
    <row r="52" spans="1:14" ht="12.75">
      <c r="A52" s="21" t="s">
        <v>29</v>
      </c>
      <c r="B52" s="117">
        <v>15798.19646</v>
      </c>
      <c r="C52" s="117">
        <v>15539.575194</v>
      </c>
      <c r="D52" s="117">
        <v>14758.789761999999</v>
      </c>
      <c r="E52" s="117">
        <v>14544.192358100001</v>
      </c>
      <c r="F52" s="182">
        <v>14766.711998499999</v>
      </c>
      <c r="G52" s="111"/>
      <c r="H52" s="68"/>
      <c r="I52" s="68"/>
      <c r="J52" s="68"/>
      <c r="K52" s="68"/>
      <c r="L52" s="68"/>
      <c r="M52" s="68"/>
      <c r="N52" s="68"/>
    </row>
    <row r="53" spans="1:14" ht="12.75">
      <c r="A53" s="21" t="s">
        <v>30</v>
      </c>
      <c r="B53" s="7">
        <v>10678.764809999999</v>
      </c>
      <c r="C53" s="7">
        <v>10826.624951</v>
      </c>
      <c r="D53" s="7">
        <v>10562.846748</v>
      </c>
      <c r="E53" s="7">
        <v>10554.3089484</v>
      </c>
      <c r="F53" s="143">
        <v>10924.437770999999</v>
      </c>
      <c r="G53" s="111"/>
      <c r="H53" s="68"/>
      <c r="I53" s="68"/>
      <c r="J53" s="68"/>
      <c r="K53" s="68"/>
      <c r="L53" s="68"/>
      <c r="M53" s="68"/>
      <c r="N53" s="68"/>
    </row>
    <row r="54" spans="1:14" ht="12.75">
      <c r="A54" s="21" t="s">
        <v>31</v>
      </c>
      <c r="B54" s="7">
        <v>5077.76245</v>
      </c>
      <c r="C54" s="7">
        <v>4696.600243</v>
      </c>
      <c r="D54" s="7">
        <v>4192.713013999999</v>
      </c>
      <c r="E54" s="7">
        <v>3986.0934097</v>
      </c>
      <c r="F54" s="143">
        <v>3839.4742275</v>
      </c>
      <c r="G54" s="111"/>
      <c r="H54" s="68"/>
      <c r="I54" s="68"/>
      <c r="J54" s="68"/>
      <c r="K54" s="68"/>
      <c r="L54" s="68"/>
      <c r="M54" s="68"/>
      <c r="N54" s="68"/>
    </row>
    <row r="55" spans="1:14" ht="12.75">
      <c r="A55" s="21" t="s">
        <v>32</v>
      </c>
      <c r="B55" s="7">
        <v>41.669200000000004</v>
      </c>
      <c r="C55" s="7">
        <v>16.35</v>
      </c>
      <c r="D55" s="7">
        <v>3.23</v>
      </c>
      <c r="E55" s="7">
        <v>3.79</v>
      </c>
      <c r="F55" s="143">
        <v>2.8</v>
      </c>
      <c r="G55" s="194"/>
      <c r="H55" s="68"/>
      <c r="I55" s="68"/>
      <c r="J55" s="68"/>
      <c r="K55" s="68"/>
      <c r="L55" s="68"/>
      <c r="M55" s="68"/>
      <c r="N55" s="68"/>
    </row>
    <row r="56" spans="1:14" ht="12.75">
      <c r="A56" s="21" t="s">
        <v>33</v>
      </c>
      <c r="B56" s="7">
        <v>0</v>
      </c>
      <c r="C56" s="7">
        <v>0</v>
      </c>
      <c r="D56" s="7">
        <v>0</v>
      </c>
      <c r="E56" s="7">
        <v>0</v>
      </c>
      <c r="F56" s="143">
        <v>0</v>
      </c>
      <c r="G56" s="68"/>
      <c r="H56" s="68"/>
      <c r="I56" s="68"/>
      <c r="J56" s="68"/>
      <c r="K56" s="68"/>
      <c r="L56" s="68"/>
      <c r="M56" s="68"/>
      <c r="N56" s="68"/>
    </row>
    <row r="57" spans="1:14" ht="12.75">
      <c r="A57" s="63" t="s">
        <v>62</v>
      </c>
      <c r="B57" s="17"/>
      <c r="C57" s="17"/>
      <c r="D57" s="17"/>
      <c r="E57" s="17"/>
      <c r="F57" s="183"/>
      <c r="G57" s="68"/>
      <c r="H57" s="68"/>
      <c r="I57" s="68"/>
      <c r="J57" s="68"/>
      <c r="K57" s="68"/>
      <c r="L57" s="68"/>
      <c r="M57" s="68"/>
      <c r="N57" s="68"/>
    </row>
    <row r="58" spans="1:14" ht="12.75">
      <c r="A58" s="60" t="s">
        <v>63</v>
      </c>
      <c r="B58" s="17">
        <v>0</v>
      </c>
      <c r="C58" s="17">
        <v>0</v>
      </c>
      <c r="D58" s="17">
        <v>0</v>
      </c>
      <c r="E58" s="17">
        <v>0</v>
      </c>
      <c r="F58" s="183">
        <v>0</v>
      </c>
      <c r="G58" s="111"/>
      <c r="H58" s="68"/>
      <c r="I58" s="68"/>
      <c r="J58" s="68"/>
      <c r="K58" s="68"/>
      <c r="L58" s="68"/>
      <c r="M58" s="68"/>
      <c r="N58" s="68"/>
    </row>
    <row r="59" spans="1:6" ht="12.75">
      <c r="A59" s="65"/>
      <c r="B59" s="26"/>
      <c r="F59" s="132"/>
    </row>
    <row r="60" spans="1:6" ht="12.75">
      <c r="A60" s="66" t="s">
        <v>131</v>
      </c>
      <c r="B60" s="25">
        <v>712588</v>
      </c>
      <c r="C60" s="18">
        <v>765135</v>
      </c>
      <c r="D60" s="25">
        <v>857896</v>
      </c>
      <c r="E60" s="25">
        <v>952396.8000000002</v>
      </c>
      <c r="F60" s="18">
        <v>1059803</v>
      </c>
    </row>
    <row r="61" spans="1:6" ht="12.75">
      <c r="A61" s="68"/>
      <c r="F61" s="130"/>
    </row>
    <row r="62" spans="1:6" ht="28.5" customHeight="1">
      <c r="A62" s="218" t="s">
        <v>150</v>
      </c>
      <c r="B62" s="218"/>
      <c r="C62" s="218"/>
      <c r="D62" s="218"/>
      <c r="E62" s="218"/>
      <c r="F62" s="218"/>
    </row>
    <row r="63" spans="1:6" ht="12.75">
      <c r="A63" s="167" t="s">
        <v>154</v>
      </c>
      <c r="B63" s="166"/>
      <c r="C63" s="166"/>
      <c r="D63" s="166"/>
      <c r="E63" s="166"/>
      <c r="F63" s="165"/>
    </row>
    <row r="64" spans="1:6" ht="12.75">
      <c r="A64" s="164" t="s">
        <v>149</v>
      </c>
      <c r="F64" s="130"/>
    </row>
    <row r="65" ht="12.75">
      <c r="F65" s="132"/>
    </row>
    <row r="66" spans="2:6" ht="12.75" customHeight="1">
      <c r="B66" s="14"/>
      <c r="C66" s="14"/>
      <c r="D66" s="14"/>
      <c r="E66" s="14"/>
      <c r="F66" s="133"/>
    </row>
    <row r="67" spans="1:6" ht="13.5" customHeight="1">
      <c r="A67" s="211" t="s">
        <v>35</v>
      </c>
      <c r="B67" s="214">
        <f>B9</f>
        <v>2015</v>
      </c>
      <c r="C67" s="214">
        <f>C9</f>
        <v>2016</v>
      </c>
      <c r="D67" s="214">
        <f>D9</f>
        <v>2017</v>
      </c>
      <c r="E67" s="214" t="str">
        <f>E9</f>
        <v>Decembrie 2018**) </v>
      </c>
      <c r="F67" s="202" t="str">
        <f>F9</f>
        <v>Decembrie 2019**)</v>
      </c>
    </row>
    <row r="68" spans="1:6" ht="24" customHeight="1">
      <c r="A68" s="212"/>
      <c r="B68" s="215"/>
      <c r="C68" s="215"/>
      <c r="D68" s="215"/>
      <c r="E68" s="215"/>
      <c r="F68" s="203"/>
    </row>
    <row r="69" spans="1:9" ht="36.75" customHeight="1">
      <c r="A69" s="213"/>
      <c r="B69" s="3">
        <v>136081.75</v>
      </c>
      <c r="C69" s="3">
        <v>148285</v>
      </c>
      <c r="D69" s="3">
        <v>155029</v>
      </c>
      <c r="E69" s="3">
        <v>172585.6</v>
      </c>
      <c r="F69" s="134">
        <v>200581.00000000003</v>
      </c>
      <c r="G69" s="73"/>
      <c r="I69" s="74"/>
    </row>
    <row r="70" spans="1:8" s="76" customFormat="1" ht="12.75">
      <c r="A70" s="34" t="s">
        <v>3</v>
      </c>
      <c r="B70" s="118">
        <v>0.19096834355897097</v>
      </c>
      <c r="C70" s="118">
        <v>0.19380240088350423</v>
      </c>
      <c r="D70" s="118">
        <v>0.18070838423305388</v>
      </c>
      <c r="E70" s="118">
        <v>0.18121186463457245</v>
      </c>
      <c r="F70" s="118">
        <v>0.18926253275372878</v>
      </c>
      <c r="G70" s="75"/>
      <c r="H70" s="11"/>
    </row>
    <row r="71" spans="1:6" ht="27.75" customHeight="1">
      <c r="A71" s="55" t="s">
        <v>36</v>
      </c>
      <c r="B71" s="4"/>
      <c r="C71" s="4"/>
      <c r="D71" s="4"/>
      <c r="E71" s="4"/>
      <c r="F71" s="4"/>
    </row>
    <row r="72" spans="1:6" ht="12.75">
      <c r="A72" s="21" t="s">
        <v>5</v>
      </c>
      <c r="B72" s="4"/>
      <c r="C72" s="4"/>
      <c r="D72" s="4"/>
      <c r="E72" s="4"/>
      <c r="F72" s="4"/>
    </row>
    <row r="73" spans="1:6" ht="12.75">
      <c r="A73" s="21" t="s">
        <v>6</v>
      </c>
      <c r="B73" s="4">
        <v>17022.08</v>
      </c>
      <c r="C73" s="4">
        <v>19162.100000000002</v>
      </c>
      <c r="D73" s="4">
        <v>14854.740000000002</v>
      </c>
      <c r="E73" s="4">
        <v>10690</v>
      </c>
      <c r="F73" s="136">
        <v>11585.9</v>
      </c>
    </row>
    <row r="74" spans="1:6" ht="12.75">
      <c r="A74" s="21" t="s">
        <v>7</v>
      </c>
      <c r="B74" s="4">
        <v>119059.67</v>
      </c>
      <c r="C74" s="4">
        <v>129122.9</v>
      </c>
      <c r="D74" s="4">
        <v>140174.26</v>
      </c>
      <c r="E74" s="4">
        <v>161895.6</v>
      </c>
      <c r="F74" s="136">
        <v>188995.10000000003</v>
      </c>
    </row>
    <row r="75" spans="1:6" ht="12.75">
      <c r="A75" s="21" t="s">
        <v>8</v>
      </c>
      <c r="B75" s="4"/>
      <c r="C75" s="4"/>
      <c r="D75" s="4"/>
      <c r="E75" s="4"/>
      <c r="F75" s="161"/>
    </row>
    <row r="76" spans="1:6" ht="12.75">
      <c r="A76" s="21" t="s">
        <v>9</v>
      </c>
      <c r="B76" s="4">
        <v>8752.65</v>
      </c>
      <c r="C76" s="4">
        <v>8408.5</v>
      </c>
      <c r="D76" s="4">
        <v>7411.1</v>
      </c>
      <c r="E76" s="4">
        <v>6953.2</v>
      </c>
      <c r="F76" s="136">
        <v>9181.6</v>
      </c>
    </row>
    <row r="77" spans="1:6" ht="12.75">
      <c r="A77" s="21" t="s">
        <v>10</v>
      </c>
      <c r="B77" s="4">
        <v>117319.8</v>
      </c>
      <c r="C77" s="4">
        <v>129870.1</v>
      </c>
      <c r="D77" s="4">
        <v>138597.5</v>
      </c>
      <c r="E77" s="4">
        <v>154671.15</v>
      </c>
      <c r="F77" s="136">
        <v>177011.7</v>
      </c>
    </row>
    <row r="78" spans="1:6" ht="12.75">
      <c r="A78" s="60" t="s">
        <v>11</v>
      </c>
      <c r="B78" s="19">
        <v>8124.73</v>
      </c>
      <c r="C78" s="19">
        <v>10549.6</v>
      </c>
      <c r="D78" s="19">
        <v>6911.34</v>
      </c>
      <c r="E78" s="19">
        <v>3328.3</v>
      </c>
      <c r="F78" s="137">
        <v>1402.1</v>
      </c>
    </row>
    <row r="79" spans="1:6" ht="12.75">
      <c r="A79" s="21" t="s">
        <v>12</v>
      </c>
      <c r="B79" s="4">
        <v>10009.300000000001</v>
      </c>
      <c r="C79" s="4">
        <v>10006.4</v>
      </c>
      <c r="D79" s="4">
        <v>9020.4</v>
      </c>
      <c r="E79" s="4">
        <v>10961.25</v>
      </c>
      <c r="F79" s="136">
        <v>14387.7</v>
      </c>
    </row>
    <row r="80" spans="1:6" ht="12.75">
      <c r="A80" s="60" t="s">
        <v>11</v>
      </c>
      <c r="B80" s="4">
        <v>144.7</v>
      </c>
      <c r="C80" s="4">
        <v>204</v>
      </c>
      <c r="D80" s="4">
        <v>532.3</v>
      </c>
      <c r="E80" s="4">
        <v>408.5</v>
      </c>
      <c r="F80" s="136">
        <v>1002.2</v>
      </c>
    </row>
    <row r="81" spans="1:6" ht="12.75">
      <c r="A81" s="21" t="s">
        <v>13</v>
      </c>
      <c r="B81" s="4"/>
      <c r="C81" s="4"/>
      <c r="D81" s="4"/>
      <c r="E81" s="4"/>
      <c r="F81" s="161"/>
    </row>
    <row r="82" spans="1:7" ht="12.75">
      <c r="A82" s="21" t="s">
        <v>14</v>
      </c>
      <c r="B82" s="4">
        <v>102842.91</v>
      </c>
      <c r="C82" s="4">
        <v>114614.78</v>
      </c>
      <c r="D82" s="4">
        <v>120662.8</v>
      </c>
      <c r="E82" s="4">
        <v>132756.63</v>
      </c>
      <c r="F82" s="136">
        <v>158775.6</v>
      </c>
      <c r="G82" s="57"/>
    </row>
    <row r="83" spans="1:7" ht="12.75">
      <c r="A83" s="21" t="s">
        <v>15</v>
      </c>
      <c r="B83" s="4">
        <v>30635.09</v>
      </c>
      <c r="C83" s="4">
        <v>30097.26</v>
      </c>
      <c r="D83" s="4">
        <v>31454.87</v>
      </c>
      <c r="E83" s="4">
        <v>35478.38</v>
      </c>
      <c r="F83" s="136">
        <v>36736.8</v>
      </c>
      <c r="G83" s="57"/>
    </row>
    <row r="84" spans="1:7" ht="12.75">
      <c r="A84" s="21" t="s">
        <v>16</v>
      </c>
      <c r="B84" s="4">
        <v>2603.7799999999997</v>
      </c>
      <c r="C84" s="4">
        <v>3573.0499999999997</v>
      </c>
      <c r="D84" s="4">
        <v>2911.33</v>
      </c>
      <c r="E84" s="4">
        <v>4350.59</v>
      </c>
      <c r="F84" s="136">
        <v>5068.5</v>
      </c>
      <c r="G84" s="57"/>
    </row>
    <row r="85" spans="1:7" ht="12" customHeight="1">
      <c r="A85" s="21" t="s">
        <v>17</v>
      </c>
      <c r="B85" s="4">
        <v>0</v>
      </c>
      <c r="C85" s="4">
        <v>0</v>
      </c>
      <c r="D85" s="4">
        <v>0</v>
      </c>
      <c r="E85" s="4">
        <v>0</v>
      </c>
      <c r="F85" s="136">
        <v>0</v>
      </c>
      <c r="G85" s="57"/>
    </row>
    <row r="86" spans="1:6" ht="35.25" customHeight="1">
      <c r="A86" s="62" t="s">
        <v>38</v>
      </c>
      <c r="B86" s="1">
        <v>125330.55</v>
      </c>
      <c r="C86" s="1">
        <v>137425.3</v>
      </c>
      <c r="D86" s="1">
        <v>144443.2</v>
      </c>
      <c r="E86" s="1">
        <v>162131.6</v>
      </c>
      <c r="F86" s="139">
        <v>189781.80000000002</v>
      </c>
    </row>
    <row r="87" spans="1:7" ht="24" customHeight="1">
      <c r="A87" s="21" t="s">
        <v>22</v>
      </c>
      <c r="B87" s="4"/>
      <c r="C87" s="4"/>
      <c r="D87" s="4"/>
      <c r="E87" s="4"/>
      <c r="F87" s="161"/>
      <c r="G87" s="57"/>
    </row>
    <row r="88" spans="1:6" ht="12.75">
      <c r="A88" s="21" t="s">
        <v>23</v>
      </c>
      <c r="B88" s="8">
        <v>16996.65</v>
      </c>
      <c r="C88" s="8">
        <v>19140.4</v>
      </c>
      <c r="D88" s="8">
        <v>14828.900000000001</v>
      </c>
      <c r="E88" s="8">
        <v>10672.6</v>
      </c>
      <c r="F88" s="136">
        <v>11571.3</v>
      </c>
    </row>
    <row r="89" spans="1:6" ht="12.75">
      <c r="A89" s="21" t="s">
        <v>24</v>
      </c>
      <c r="B89" s="8">
        <v>108333.9</v>
      </c>
      <c r="C89" s="8">
        <v>118284.9</v>
      </c>
      <c r="D89" s="8">
        <v>129614.30000000002</v>
      </c>
      <c r="E89" s="8">
        <v>151459</v>
      </c>
      <c r="F89" s="136">
        <v>178210.50000000003</v>
      </c>
    </row>
    <row r="90" spans="1:6" ht="12.75">
      <c r="A90" s="21" t="s">
        <v>25</v>
      </c>
      <c r="B90" s="4"/>
      <c r="C90" s="4"/>
      <c r="D90" s="4"/>
      <c r="E90" s="4"/>
      <c r="F90" s="161"/>
    </row>
    <row r="91" spans="1:6" ht="12.75">
      <c r="A91" s="21" t="s">
        <v>26</v>
      </c>
      <c r="B91" s="4">
        <v>8752.65</v>
      </c>
      <c r="C91" s="4">
        <v>8408.5</v>
      </c>
      <c r="D91" s="4">
        <v>7411.1</v>
      </c>
      <c r="E91" s="4">
        <v>6953.2</v>
      </c>
      <c r="F91" s="136">
        <v>9181.6</v>
      </c>
    </row>
    <row r="92" spans="1:6" ht="12.75">
      <c r="A92" s="21" t="s">
        <v>27</v>
      </c>
      <c r="B92" s="4">
        <v>114972.3</v>
      </c>
      <c r="C92" s="4">
        <v>127573</v>
      </c>
      <c r="D92" s="4">
        <v>136151.5</v>
      </c>
      <c r="E92" s="4">
        <v>152257.25</v>
      </c>
      <c r="F92" s="136">
        <v>174614</v>
      </c>
    </row>
    <row r="93" spans="1:6" ht="12.75">
      <c r="A93" s="60" t="s">
        <v>11</v>
      </c>
      <c r="B93" s="4">
        <v>8122.7</v>
      </c>
      <c r="C93" s="4">
        <v>10547.6</v>
      </c>
      <c r="D93" s="4">
        <v>6911.3</v>
      </c>
      <c r="E93" s="4">
        <v>3328.3</v>
      </c>
      <c r="F93" s="136">
        <v>1402.1</v>
      </c>
    </row>
    <row r="94" spans="1:6" ht="12.75">
      <c r="A94" s="21" t="s">
        <v>28</v>
      </c>
      <c r="B94" s="4">
        <v>1605.6</v>
      </c>
      <c r="C94" s="4">
        <v>1443.8</v>
      </c>
      <c r="D94" s="4">
        <v>880.6</v>
      </c>
      <c r="E94" s="4">
        <v>2921.15</v>
      </c>
      <c r="F94" s="136">
        <v>5986.2</v>
      </c>
    </row>
    <row r="95" spans="1:6" ht="12.75">
      <c r="A95" s="60" t="s">
        <v>11</v>
      </c>
      <c r="B95" s="4">
        <v>121.3</v>
      </c>
      <c r="C95" s="4">
        <v>184.3</v>
      </c>
      <c r="D95" s="4">
        <v>506.5</v>
      </c>
      <c r="E95" s="4">
        <v>391.1</v>
      </c>
      <c r="F95" s="136">
        <v>987.6</v>
      </c>
    </row>
    <row r="96" spans="1:6" ht="12.75">
      <c r="A96" s="21" t="s">
        <v>29</v>
      </c>
      <c r="B96" s="6"/>
      <c r="C96" s="6"/>
      <c r="D96" s="6"/>
      <c r="E96" s="6"/>
      <c r="F96" s="6"/>
    </row>
    <row r="97" spans="1:6" ht="12.75">
      <c r="A97" s="21" t="s">
        <v>30</v>
      </c>
      <c r="B97" s="4">
        <v>93428.2</v>
      </c>
      <c r="C97" s="4">
        <v>104793.6</v>
      </c>
      <c r="D97" s="4">
        <v>110840.1</v>
      </c>
      <c r="E97" s="4">
        <v>123015.5</v>
      </c>
      <c r="F97" s="136">
        <v>148594.2</v>
      </c>
    </row>
    <row r="98" spans="1:6" ht="12.75">
      <c r="A98" s="21" t="s">
        <v>31</v>
      </c>
      <c r="B98" s="4">
        <v>29333.05</v>
      </c>
      <c r="C98" s="4">
        <v>29075</v>
      </c>
      <c r="D98" s="4">
        <v>30695</v>
      </c>
      <c r="E98" s="4">
        <v>34769.25</v>
      </c>
      <c r="F98" s="136">
        <v>36121.8</v>
      </c>
    </row>
    <row r="99" spans="1:6" ht="12.75">
      <c r="A99" s="21" t="s">
        <v>32</v>
      </c>
      <c r="B99" s="4">
        <v>2569.35</v>
      </c>
      <c r="C99" s="4">
        <v>3556.7</v>
      </c>
      <c r="D99" s="4">
        <v>2908.1</v>
      </c>
      <c r="E99" s="4">
        <v>4346.8</v>
      </c>
      <c r="F99" s="136">
        <v>5065.7</v>
      </c>
    </row>
    <row r="100" spans="1:6" ht="12.75">
      <c r="A100" s="21" t="s">
        <v>33</v>
      </c>
      <c r="B100" s="4">
        <v>0</v>
      </c>
      <c r="C100" s="4">
        <v>0</v>
      </c>
      <c r="D100" s="4">
        <v>0</v>
      </c>
      <c r="E100" s="4">
        <v>0</v>
      </c>
      <c r="F100" s="136">
        <v>0</v>
      </c>
    </row>
    <row r="101" spans="1:6" ht="25.5">
      <c r="A101" s="62" t="s">
        <v>40</v>
      </c>
      <c r="B101" s="2">
        <v>10751.2</v>
      </c>
      <c r="C101" s="2">
        <v>10859.7</v>
      </c>
      <c r="D101" s="2">
        <v>10585.8</v>
      </c>
      <c r="E101" s="2">
        <v>10454</v>
      </c>
      <c r="F101" s="140">
        <v>10799.2</v>
      </c>
    </row>
    <row r="102" spans="1:6" ht="12.75">
      <c r="A102" s="21" t="s">
        <v>22</v>
      </c>
      <c r="B102" s="4"/>
      <c r="C102" s="4"/>
      <c r="D102" s="4"/>
      <c r="E102" s="4"/>
      <c r="F102" s="136"/>
    </row>
    <row r="103" spans="1:6" ht="12.75">
      <c r="A103" s="21" t="s">
        <v>23</v>
      </c>
      <c r="B103" s="4">
        <v>25.43</v>
      </c>
      <c r="C103" s="4">
        <v>21.7</v>
      </c>
      <c r="D103" s="4">
        <v>25.84</v>
      </c>
      <c r="E103" s="4">
        <v>17.4</v>
      </c>
      <c r="F103" s="136">
        <v>14.6</v>
      </c>
    </row>
    <row r="104" spans="1:6" ht="12.75" customHeight="1">
      <c r="A104" s="21" t="s">
        <v>24</v>
      </c>
      <c r="B104" s="4">
        <v>10725.77</v>
      </c>
      <c r="C104" s="4">
        <v>10838</v>
      </c>
      <c r="D104" s="4">
        <v>10559.96</v>
      </c>
      <c r="E104" s="4">
        <v>10436.6</v>
      </c>
      <c r="F104" s="136">
        <v>10784.6</v>
      </c>
    </row>
    <row r="105" spans="1:6" ht="12.75">
      <c r="A105" s="21" t="s">
        <v>25</v>
      </c>
      <c r="B105" s="4"/>
      <c r="C105" s="4"/>
      <c r="D105" s="4"/>
      <c r="E105" s="4"/>
      <c r="F105" s="136"/>
    </row>
    <row r="106" spans="1:6" ht="12.75">
      <c r="A106" s="21" t="s">
        <v>27</v>
      </c>
      <c r="B106" s="4">
        <v>2347.5</v>
      </c>
      <c r="C106" s="4">
        <v>2297.1</v>
      </c>
      <c r="D106" s="4">
        <v>2446</v>
      </c>
      <c r="E106" s="4">
        <v>2413.9</v>
      </c>
      <c r="F106" s="136">
        <v>2397.7</v>
      </c>
    </row>
    <row r="107" spans="1:6" ht="12.75">
      <c r="A107" s="60" t="s">
        <v>11</v>
      </c>
      <c r="B107" s="4">
        <v>2.03</v>
      </c>
      <c r="C107" s="4">
        <v>2</v>
      </c>
      <c r="D107" s="4">
        <v>0.04</v>
      </c>
      <c r="E107" s="4">
        <v>0</v>
      </c>
      <c r="F107" s="136">
        <v>0</v>
      </c>
    </row>
    <row r="108" spans="1:6" ht="12.75">
      <c r="A108" s="21" t="s">
        <v>28</v>
      </c>
      <c r="B108" s="4">
        <v>8403.7</v>
      </c>
      <c r="C108" s="4">
        <v>8562.6</v>
      </c>
      <c r="D108" s="4">
        <v>8139.8</v>
      </c>
      <c r="E108" s="4">
        <v>8040.1</v>
      </c>
      <c r="F108" s="136">
        <v>8401.5</v>
      </c>
    </row>
    <row r="109" spans="1:6" ht="12.75">
      <c r="A109" s="60" t="s">
        <v>11</v>
      </c>
      <c r="B109" s="4">
        <v>23.4</v>
      </c>
      <c r="C109" s="4">
        <v>19.7</v>
      </c>
      <c r="D109" s="4">
        <v>25.8</v>
      </c>
      <c r="E109" s="4">
        <v>17.4</v>
      </c>
      <c r="F109" s="136">
        <v>14.6</v>
      </c>
    </row>
    <row r="110" spans="1:6" ht="12.75">
      <c r="A110" s="21" t="s">
        <v>29</v>
      </c>
      <c r="B110" s="4"/>
      <c r="C110" s="4"/>
      <c r="D110" s="4"/>
      <c r="E110" s="4"/>
      <c r="F110" s="136"/>
    </row>
    <row r="111" spans="1:6" ht="12.75">
      <c r="A111" s="21" t="s">
        <v>30</v>
      </c>
      <c r="B111" s="4">
        <v>9414.71</v>
      </c>
      <c r="C111" s="4">
        <v>9821.18</v>
      </c>
      <c r="D111" s="4">
        <v>9822.7</v>
      </c>
      <c r="E111" s="4">
        <v>9741.13</v>
      </c>
      <c r="F111" s="136">
        <v>10181.4</v>
      </c>
    </row>
    <row r="112" spans="1:6" ht="12.75">
      <c r="A112" s="21" t="s">
        <v>31</v>
      </c>
      <c r="B112" s="4">
        <v>1302.04</v>
      </c>
      <c r="C112" s="4">
        <v>1022.26</v>
      </c>
      <c r="D112" s="4">
        <v>759.87</v>
      </c>
      <c r="E112" s="4">
        <v>709.13</v>
      </c>
      <c r="F112" s="136">
        <v>615</v>
      </c>
    </row>
    <row r="113" spans="1:6" ht="12.75">
      <c r="A113" s="21" t="s">
        <v>32</v>
      </c>
      <c r="B113" s="4">
        <v>34.43</v>
      </c>
      <c r="C113" s="4">
        <v>16.35</v>
      </c>
      <c r="D113" s="4">
        <v>3.23</v>
      </c>
      <c r="E113" s="4">
        <v>3.79</v>
      </c>
      <c r="F113" s="136">
        <v>2.8</v>
      </c>
    </row>
    <row r="114" spans="1:6" ht="11.25" customHeight="1">
      <c r="A114" s="21" t="s">
        <v>33</v>
      </c>
      <c r="B114" s="4">
        <v>0</v>
      </c>
      <c r="C114" s="4">
        <v>0</v>
      </c>
      <c r="D114" s="4">
        <v>0</v>
      </c>
      <c r="E114" s="4">
        <v>0</v>
      </c>
      <c r="F114" s="136">
        <v>0</v>
      </c>
    </row>
    <row r="115" spans="1:6" ht="12.75">
      <c r="A115" s="68"/>
      <c r="F115" s="130"/>
    </row>
    <row r="116" spans="1:6" ht="12.75">
      <c r="A116" s="68"/>
      <c r="D116" s="27"/>
      <c r="E116" s="27"/>
      <c r="F116" s="131"/>
    </row>
    <row r="117" spans="1:8" s="86" customFormat="1" ht="12.75">
      <c r="A117" s="83"/>
      <c r="B117" s="84"/>
      <c r="C117" s="84"/>
      <c r="D117" s="84"/>
      <c r="E117" s="11"/>
      <c r="F117" s="130"/>
      <c r="G117" s="85"/>
      <c r="H117" s="11"/>
    </row>
    <row r="118" spans="1:6" ht="12.75">
      <c r="A118" s="87"/>
      <c r="B118" s="31"/>
      <c r="C118" s="32"/>
      <c r="D118" s="32"/>
      <c r="E118" s="14"/>
      <c r="F118" s="14"/>
    </row>
    <row r="119" spans="1:6" ht="12.75" customHeight="1">
      <c r="A119" s="208" t="s">
        <v>41</v>
      </c>
      <c r="B119" s="208">
        <v>2015</v>
      </c>
      <c r="C119" s="208">
        <v>2016</v>
      </c>
      <c r="D119" s="208">
        <v>2017</v>
      </c>
      <c r="E119" s="208" t="s">
        <v>151</v>
      </c>
      <c r="F119" s="202" t="s">
        <v>152</v>
      </c>
    </row>
    <row r="120" spans="1:7" ht="27.75" customHeight="1">
      <c r="A120" s="209"/>
      <c r="B120" s="210"/>
      <c r="C120" s="210"/>
      <c r="D120" s="210"/>
      <c r="E120" s="210"/>
      <c r="F120" s="203"/>
      <c r="G120" s="53"/>
    </row>
    <row r="121" spans="1:7" ht="24" customHeight="1">
      <c r="A121" s="210"/>
      <c r="B121" s="12">
        <v>133069.55</v>
      </c>
      <c r="C121" s="12">
        <v>137268.09999999998</v>
      </c>
      <c r="D121" s="12">
        <v>146129.5</v>
      </c>
      <c r="E121" s="12">
        <v>157901.59999999998</v>
      </c>
      <c r="F121" s="12">
        <v>172928.217075</v>
      </c>
      <c r="G121" s="116"/>
    </row>
    <row r="122" spans="1:8" s="76" customFormat="1" ht="12.75">
      <c r="A122" s="34" t="s">
        <v>3</v>
      </c>
      <c r="B122" s="118">
        <v>0.18674121652343287</v>
      </c>
      <c r="C122" s="118">
        <v>0.1794037653485986</v>
      </c>
      <c r="D122" s="118">
        <v>0.17033474920036928</v>
      </c>
      <c r="E122" s="118">
        <v>0.16579392118915137</v>
      </c>
      <c r="F122" s="118">
        <v>0.16317015244814365</v>
      </c>
      <c r="G122" s="75"/>
      <c r="H122" s="11"/>
    </row>
    <row r="123" spans="1:7" ht="21" customHeight="1">
      <c r="A123" s="55" t="s">
        <v>42</v>
      </c>
      <c r="B123" s="7"/>
      <c r="C123" s="7"/>
      <c r="D123" s="8"/>
      <c r="E123" s="8"/>
      <c r="F123" s="8"/>
      <c r="G123" s="119"/>
    </row>
    <row r="124" spans="1:6" ht="12.75">
      <c r="A124" s="21" t="s">
        <v>5</v>
      </c>
      <c r="B124" s="7"/>
      <c r="C124" s="7"/>
      <c r="D124" s="8"/>
      <c r="E124" s="8"/>
      <c r="F124" s="8"/>
    </row>
    <row r="125" spans="1:6" ht="12.75">
      <c r="A125" s="21" t="s">
        <v>6</v>
      </c>
      <c r="B125" s="7">
        <v>69.13435999999999</v>
      </c>
      <c r="C125" s="7">
        <v>427.54456500000003</v>
      </c>
      <c r="D125" s="8">
        <v>319.88840500000003</v>
      </c>
      <c r="E125" s="8">
        <v>154.654924</v>
      </c>
      <c r="F125" s="8">
        <v>63.660276</v>
      </c>
    </row>
    <row r="126" spans="1:7" ht="12.75">
      <c r="A126" s="21" t="s">
        <v>7</v>
      </c>
      <c r="B126" s="7">
        <v>133000.41564</v>
      </c>
      <c r="C126" s="7">
        <v>136840.555435</v>
      </c>
      <c r="D126" s="8">
        <v>145809.611595</v>
      </c>
      <c r="E126" s="8">
        <v>157746.94507599997</v>
      </c>
      <c r="F126" s="8">
        <v>172864.55679899998</v>
      </c>
      <c r="G126" s="53"/>
    </row>
    <row r="127" spans="1:6" ht="12.75">
      <c r="A127" s="21" t="s">
        <v>43</v>
      </c>
      <c r="B127" s="7"/>
      <c r="C127" s="7"/>
      <c r="D127" s="8"/>
      <c r="E127" s="8"/>
      <c r="F127" s="8"/>
    </row>
    <row r="128" spans="1:7" ht="12.75">
      <c r="A128" s="21" t="s">
        <v>44</v>
      </c>
      <c r="B128" s="7">
        <v>74287.35</v>
      </c>
      <c r="C128" s="7">
        <v>81698.4</v>
      </c>
      <c r="D128" s="8">
        <v>95745.5</v>
      </c>
      <c r="E128" s="8">
        <v>115725.4</v>
      </c>
      <c r="F128" s="8">
        <v>136721.4351</v>
      </c>
      <c r="G128" s="57"/>
    </row>
    <row r="129" spans="1:6" ht="12.75">
      <c r="A129" s="60" t="s">
        <v>11</v>
      </c>
      <c r="B129" s="7">
        <v>69.13435999999999</v>
      </c>
      <c r="C129" s="7">
        <v>427.54456500000003</v>
      </c>
      <c r="D129" s="8">
        <v>319.88840500000003</v>
      </c>
      <c r="E129" s="8">
        <v>154.654924</v>
      </c>
      <c r="F129" s="8">
        <v>63.660276</v>
      </c>
    </row>
    <row r="130" spans="1:6" ht="12.75">
      <c r="A130" s="21" t="s">
        <v>45</v>
      </c>
      <c r="B130" s="8">
        <v>58782.2</v>
      </c>
      <c r="C130" s="8">
        <v>55569.7</v>
      </c>
      <c r="D130" s="8">
        <v>50384</v>
      </c>
      <c r="E130" s="8">
        <v>42176.2</v>
      </c>
      <c r="F130" s="8">
        <v>36206.781975</v>
      </c>
    </row>
    <row r="131" spans="1:6" ht="12.75">
      <c r="A131" s="60" t="s">
        <v>11</v>
      </c>
      <c r="B131" s="7">
        <v>0</v>
      </c>
      <c r="C131" s="7">
        <v>0</v>
      </c>
      <c r="D131" s="8">
        <v>0</v>
      </c>
      <c r="E131" s="8">
        <v>0</v>
      </c>
      <c r="F131" s="8">
        <v>0</v>
      </c>
    </row>
    <row r="132" spans="1:9" ht="12.75">
      <c r="A132" s="21" t="s">
        <v>13</v>
      </c>
      <c r="B132" s="7"/>
      <c r="C132" s="8"/>
      <c r="D132" s="8"/>
      <c r="E132" s="8"/>
      <c r="F132" s="8"/>
      <c r="I132" s="27"/>
    </row>
    <row r="133" spans="1:7" ht="12.75">
      <c r="A133" s="21" t="s">
        <v>14</v>
      </c>
      <c r="B133" s="8">
        <v>21391.428795</v>
      </c>
      <c r="C133" s="8">
        <v>22475.220819000002</v>
      </c>
      <c r="D133" s="8">
        <v>24284.212937999997</v>
      </c>
      <c r="E133" s="8">
        <v>31424.378781</v>
      </c>
      <c r="F133" s="8">
        <v>32832.0178797</v>
      </c>
      <c r="G133" s="57"/>
    </row>
    <row r="134" spans="1:7" ht="12.75">
      <c r="A134" s="21" t="s">
        <v>15</v>
      </c>
      <c r="B134" s="8">
        <v>86824.49358899999</v>
      </c>
      <c r="C134" s="8">
        <v>89546.08587859999</v>
      </c>
      <c r="D134" s="8">
        <v>99198.60005499999</v>
      </c>
      <c r="E134" s="8">
        <v>100646.69615770002</v>
      </c>
      <c r="F134" s="8">
        <v>114186.68671110002</v>
      </c>
      <c r="G134" s="57"/>
    </row>
    <row r="135" spans="1:9" ht="12.75">
      <c r="A135" s="21" t="s">
        <v>16</v>
      </c>
      <c r="B135" s="7">
        <v>24240.444280499996</v>
      </c>
      <c r="C135" s="8">
        <v>23281.561240500003</v>
      </c>
      <c r="D135" s="8">
        <v>20735.432014999995</v>
      </c>
      <c r="E135" s="8">
        <v>23917.038868000003</v>
      </c>
      <c r="F135" s="8">
        <v>24111.807465</v>
      </c>
      <c r="G135" s="57"/>
      <c r="I135" s="27"/>
    </row>
    <row r="136" spans="1:9" ht="12.75">
      <c r="A136" s="21" t="s">
        <v>17</v>
      </c>
      <c r="B136" s="7">
        <v>613.1833355000017</v>
      </c>
      <c r="C136" s="8">
        <v>1965.2320618999765</v>
      </c>
      <c r="D136" s="8">
        <v>1911.2549920000201</v>
      </c>
      <c r="E136" s="8">
        <v>1913.4861932999484</v>
      </c>
      <c r="F136" s="8">
        <v>1797.705019199977</v>
      </c>
      <c r="G136" s="57"/>
      <c r="I136" s="40"/>
    </row>
    <row r="137" spans="1:6" ht="30" customHeight="1">
      <c r="A137" s="62" t="s">
        <v>47</v>
      </c>
      <c r="B137" s="10">
        <v>128022.5</v>
      </c>
      <c r="C137" s="10">
        <v>132588.25284499998</v>
      </c>
      <c r="D137" s="10">
        <v>141956.4</v>
      </c>
      <c r="E137" s="10">
        <v>153811.43271189998</v>
      </c>
      <c r="F137" s="10">
        <v>168960.70507650002</v>
      </c>
    </row>
    <row r="138" spans="1:6" ht="23.25" customHeight="1">
      <c r="A138" s="21" t="s">
        <v>48</v>
      </c>
      <c r="B138" s="7"/>
      <c r="C138" s="8"/>
      <c r="D138" s="8"/>
      <c r="E138" s="8"/>
      <c r="F138" s="8"/>
    </row>
    <row r="139" spans="1:6" ht="12.75">
      <c r="A139" s="21" t="s">
        <v>49</v>
      </c>
      <c r="B139" s="7">
        <v>69.13435999999999</v>
      </c>
      <c r="C139" s="8">
        <v>427.54456500000003</v>
      </c>
      <c r="D139" s="8">
        <v>319.88840500000003</v>
      </c>
      <c r="E139" s="8">
        <v>154.654924</v>
      </c>
      <c r="F139" s="8">
        <v>63.660276</v>
      </c>
    </row>
    <row r="140" spans="1:6" ht="12.75">
      <c r="A140" s="21" t="s">
        <v>50</v>
      </c>
      <c r="B140" s="7">
        <v>127953.39918</v>
      </c>
      <c r="C140" s="8">
        <v>132160.770241</v>
      </c>
      <c r="D140" s="8">
        <v>141636.62183299998</v>
      </c>
      <c r="E140" s="8">
        <v>153656.80271789996</v>
      </c>
      <c r="F140" s="8">
        <v>168897.04480049998</v>
      </c>
    </row>
    <row r="141" spans="1:6" ht="12.75">
      <c r="A141" s="21" t="s">
        <v>51</v>
      </c>
      <c r="B141" s="8"/>
      <c r="C141" s="8"/>
      <c r="D141" s="8"/>
      <c r="E141" s="8"/>
      <c r="F141" s="8"/>
    </row>
    <row r="142" spans="1:6" ht="12.75">
      <c r="A142" s="21" t="s">
        <v>27</v>
      </c>
      <c r="B142" s="7">
        <v>73649</v>
      </c>
      <c r="C142" s="8">
        <v>81064.9</v>
      </c>
      <c r="D142" s="8">
        <v>95334.5</v>
      </c>
      <c r="E142" s="8">
        <v>115346.2</v>
      </c>
      <c r="F142" s="8">
        <v>136354.62382500002</v>
      </c>
    </row>
    <row r="143" spans="1:6" ht="12.75">
      <c r="A143" s="60" t="s">
        <v>11</v>
      </c>
      <c r="B143" s="7">
        <v>69.13435999999999</v>
      </c>
      <c r="C143" s="8">
        <v>427.54456500000003</v>
      </c>
      <c r="D143" s="8">
        <v>319.88840500000003</v>
      </c>
      <c r="E143" s="8">
        <v>154.654924</v>
      </c>
      <c r="F143" s="8">
        <v>63.660276</v>
      </c>
    </row>
    <row r="144" spans="1:6" ht="12.75">
      <c r="A144" s="21" t="s">
        <v>52</v>
      </c>
      <c r="B144" s="7">
        <v>54373.5</v>
      </c>
      <c r="C144" s="7">
        <v>51523.352844999994</v>
      </c>
      <c r="D144" s="8">
        <v>46621.9</v>
      </c>
      <c r="E144" s="8">
        <v>38465.2327119</v>
      </c>
      <c r="F144" s="8">
        <v>32606.0812515</v>
      </c>
    </row>
    <row r="145" spans="1:6" ht="12.75">
      <c r="A145" s="60" t="s">
        <v>11</v>
      </c>
      <c r="B145" s="7">
        <v>0</v>
      </c>
      <c r="C145" s="8">
        <v>0</v>
      </c>
      <c r="D145" s="8">
        <v>0</v>
      </c>
      <c r="E145" s="8">
        <v>0</v>
      </c>
      <c r="F145" s="8">
        <v>0</v>
      </c>
    </row>
    <row r="146" spans="1:6" ht="12.75">
      <c r="A146" s="21" t="s">
        <v>53</v>
      </c>
      <c r="B146" s="8"/>
      <c r="C146" s="8"/>
      <c r="D146" s="8"/>
      <c r="E146" s="8"/>
      <c r="F146" s="8"/>
    </row>
    <row r="147" spans="1:6" ht="12.75">
      <c r="A147" s="21" t="s">
        <v>30</v>
      </c>
      <c r="B147" s="8">
        <v>18523.3</v>
      </c>
      <c r="C147" s="8">
        <v>21469.775868</v>
      </c>
      <c r="D147" s="8">
        <v>23544.066189999998</v>
      </c>
      <c r="E147" s="8">
        <v>30611.1998326</v>
      </c>
      <c r="F147" s="8">
        <v>32088.980108699998</v>
      </c>
    </row>
    <row r="148" spans="1:6" ht="12.75">
      <c r="A148" s="21" t="s">
        <v>31</v>
      </c>
      <c r="B148" s="8">
        <v>83077.75313900001</v>
      </c>
      <c r="C148" s="8">
        <v>85871.74563559999</v>
      </c>
      <c r="D148" s="8">
        <v>95977.040707</v>
      </c>
      <c r="E148" s="8">
        <v>97369.73274800002</v>
      </c>
      <c r="F148" s="8">
        <v>110962.21248360001</v>
      </c>
    </row>
    <row r="149" spans="1:6" ht="12.75">
      <c r="A149" s="21" t="s">
        <v>32</v>
      </c>
      <c r="B149" s="7">
        <v>24226.0209195</v>
      </c>
      <c r="C149" s="8">
        <v>23281.561240500003</v>
      </c>
      <c r="D149" s="8">
        <v>20735.432014999995</v>
      </c>
      <c r="E149" s="8">
        <v>23917.038868000003</v>
      </c>
      <c r="F149" s="8">
        <v>24111.807465</v>
      </c>
    </row>
    <row r="150" spans="1:6" ht="12" customHeight="1">
      <c r="A150" s="21" t="s">
        <v>33</v>
      </c>
      <c r="B150" s="8">
        <v>2195.4259414999906</v>
      </c>
      <c r="C150" s="8">
        <v>1965.1701008999917</v>
      </c>
      <c r="D150" s="8">
        <v>1699.8610880000087</v>
      </c>
      <c r="E150" s="8">
        <v>1913.4612632999488</v>
      </c>
      <c r="F150" s="8">
        <v>1797.705019200006</v>
      </c>
    </row>
    <row r="151" spans="1:6" ht="25.5">
      <c r="A151" s="62" t="s">
        <v>55</v>
      </c>
      <c r="B151" s="6">
        <v>5047.01646</v>
      </c>
      <c r="C151" s="6">
        <v>4679.785194</v>
      </c>
      <c r="D151" s="6">
        <v>4172.989761999999</v>
      </c>
      <c r="E151" s="6">
        <v>4090.1423581</v>
      </c>
      <c r="F151" s="6">
        <v>3967.5119985</v>
      </c>
    </row>
    <row r="152" spans="1:6" ht="12.75">
      <c r="A152" s="21" t="s">
        <v>5</v>
      </c>
      <c r="B152" s="6"/>
      <c r="C152" s="6"/>
      <c r="D152" s="6"/>
      <c r="E152" s="6"/>
      <c r="F152" s="6"/>
    </row>
    <row r="153" spans="1:6" ht="12.75">
      <c r="A153" s="21" t="s">
        <v>49</v>
      </c>
      <c r="B153" s="20">
        <v>0</v>
      </c>
      <c r="C153" s="20">
        <v>0</v>
      </c>
      <c r="D153" s="8">
        <v>0</v>
      </c>
      <c r="E153" s="8">
        <v>0</v>
      </c>
      <c r="F153" s="8">
        <v>0</v>
      </c>
    </row>
    <row r="154" spans="1:6" ht="12.75">
      <c r="A154" s="21" t="s">
        <v>50</v>
      </c>
      <c r="B154" s="7">
        <v>5047.01646</v>
      </c>
      <c r="C154" s="7">
        <v>4679.785194</v>
      </c>
      <c r="D154" s="8">
        <v>4172.989761999999</v>
      </c>
      <c r="E154" s="8">
        <v>4090.1423581</v>
      </c>
      <c r="F154" s="8">
        <v>3967.5119985</v>
      </c>
    </row>
    <row r="155" spans="1:6" ht="12.75">
      <c r="A155" s="21" t="s">
        <v>43</v>
      </c>
      <c r="B155" s="7"/>
      <c r="C155" s="7"/>
      <c r="D155" s="8"/>
      <c r="E155" s="8"/>
      <c r="F155" s="8"/>
    </row>
    <row r="156" spans="1:6" ht="12.75">
      <c r="A156" s="21" t="s">
        <v>27</v>
      </c>
      <c r="B156" s="7">
        <v>638.31646</v>
      </c>
      <c r="C156" s="7">
        <v>633.4380390000001</v>
      </c>
      <c r="D156" s="8">
        <v>410.98554</v>
      </c>
      <c r="E156" s="8">
        <v>379.17507</v>
      </c>
      <c r="F156" s="8">
        <v>366.811275</v>
      </c>
    </row>
    <row r="157" spans="1:6" ht="12.75">
      <c r="A157" s="60" t="s">
        <v>11</v>
      </c>
      <c r="B157" s="7">
        <v>0</v>
      </c>
      <c r="C157" s="7">
        <v>0</v>
      </c>
      <c r="D157" s="8">
        <v>0</v>
      </c>
      <c r="E157" s="8">
        <v>0</v>
      </c>
      <c r="F157" s="8">
        <v>0</v>
      </c>
    </row>
    <row r="158" spans="1:6" ht="12.75">
      <c r="A158" s="21" t="s">
        <v>52</v>
      </c>
      <c r="B158" s="7">
        <v>4408.7</v>
      </c>
      <c r="C158" s="7">
        <v>4046.347155</v>
      </c>
      <c r="D158" s="8">
        <v>3762.0042219999996</v>
      </c>
      <c r="E158" s="8">
        <v>3710.9672880999997</v>
      </c>
      <c r="F158" s="8">
        <v>3600.7007235</v>
      </c>
    </row>
    <row r="159" spans="1:6" ht="12.75">
      <c r="A159" s="60" t="s">
        <v>11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</row>
    <row r="160" spans="1:6" ht="12.75">
      <c r="A160" s="21" t="s">
        <v>13</v>
      </c>
      <c r="B160" s="21"/>
      <c r="C160" s="21"/>
      <c r="D160" s="21"/>
      <c r="E160" s="21"/>
      <c r="F160" s="21"/>
    </row>
    <row r="161" spans="1:6" ht="12.75">
      <c r="A161" s="21" t="s">
        <v>30</v>
      </c>
      <c r="B161" s="8">
        <v>1264.0548099999999</v>
      </c>
      <c r="C161" s="8">
        <v>1005.4449510000002</v>
      </c>
      <c r="D161" s="8">
        <v>740.146748</v>
      </c>
      <c r="E161" s="8">
        <v>813.1789484</v>
      </c>
      <c r="F161" s="8">
        <v>743.037771</v>
      </c>
    </row>
    <row r="162" spans="1:6" ht="12.75">
      <c r="A162" s="21" t="s">
        <v>31</v>
      </c>
      <c r="B162" s="8">
        <v>3775.72245</v>
      </c>
      <c r="C162" s="8">
        <v>3674.3402429999996</v>
      </c>
      <c r="D162" s="8">
        <v>3432.843013999999</v>
      </c>
      <c r="E162" s="8">
        <v>3276.9634097</v>
      </c>
      <c r="F162" s="8">
        <v>3224.4742275</v>
      </c>
    </row>
    <row r="163" spans="1:6" ht="12.75">
      <c r="A163" s="21" t="s">
        <v>32</v>
      </c>
      <c r="B163" s="8">
        <v>7.2392</v>
      </c>
      <c r="C163" s="8">
        <v>0</v>
      </c>
      <c r="D163" s="8">
        <v>0</v>
      </c>
      <c r="E163" s="8">
        <v>0</v>
      </c>
      <c r="F163" s="8">
        <v>0</v>
      </c>
    </row>
    <row r="164" spans="1:6" ht="12.75">
      <c r="A164" s="21" t="s">
        <v>33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</row>
    <row r="165" spans="1:6" ht="12.75">
      <c r="A165" s="96" t="s">
        <v>62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</row>
    <row r="166" spans="1:6" ht="12.75">
      <c r="A166" s="60" t="s">
        <v>57</v>
      </c>
      <c r="B166" s="22">
        <v>0</v>
      </c>
      <c r="C166" s="22">
        <v>0</v>
      </c>
      <c r="D166" s="22">
        <v>0</v>
      </c>
      <c r="E166" s="22">
        <v>0</v>
      </c>
      <c r="F166" s="22">
        <v>0</v>
      </c>
    </row>
    <row r="167" spans="1:7" s="23" customFormat="1" ht="11.25" customHeight="1">
      <c r="A167" s="97"/>
      <c r="F167" s="130"/>
      <c r="G167" s="99"/>
    </row>
    <row r="168" ht="12.75">
      <c r="F168" s="130"/>
    </row>
    <row r="171" spans="5:16" ht="12.75">
      <c r="E171" s="68"/>
      <c r="F171" s="68"/>
      <c r="G171" s="111"/>
      <c r="H171" s="68"/>
      <c r="I171" s="68"/>
      <c r="J171" s="68"/>
      <c r="K171" s="68"/>
      <c r="L171" s="68"/>
      <c r="M171" s="68"/>
      <c r="N171" s="68"/>
      <c r="O171" s="68"/>
      <c r="P171" s="68"/>
    </row>
    <row r="172" spans="1:16" ht="12.75">
      <c r="A172" s="30"/>
      <c r="B172" s="30"/>
      <c r="C172" s="30"/>
      <c r="D172" s="30"/>
      <c r="E172" s="65"/>
      <c r="F172" s="168"/>
      <c r="G172" s="111"/>
      <c r="H172" s="68"/>
      <c r="I172" s="68"/>
      <c r="J172" s="68"/>
      <c r="K172" s="68"/>
      <c r="L172" s="68"/>
      <c r="M172" s="68"/>
      <c r="N172" s="68"/>
      <c r="O172" s="68"/>
      <c r="P172" s="68"/>
    </row>
    <row r="173" spans="1:16" ht="12.75">
      <c r="A173" s="30"/>
      <c r="B173" s="30"/>
      <c r="C173" s="30"/>
      <c r="D173" s="30"/>
      <c r="E173" s="65"/>
      <c r="F173" s="168"/>
      <c r="G173" s="111"/>
      <c r="H173" s="68"/>
      <c r="I173" s="68"/>
      <c r="J173" s="68"/>
      <c r="K173" s="68"/>
      <c r="L173" s="68"/>
      <c r="M173" s="68"/>
      <c r="N173" s="68"/>
      <c r="O173" s="68"/>
      <c r="P173" s="68"/>
    </row>
    <row r="174" spans="1:16" ht="12.75">
      <c r="A174" s="30"/>
      <c r="B174" s="30"/>
      <c r="C174" s="30"/>
      <c r="D174" s="30"/>
      <c r="E174" s="65"/>
      <c r="F174" s="65"/>
      <c r="G174" s="111"/>
      <c r="H174" s="68"/>
      <c r="I174" s="68"/>
      <c r="J174" s="68"/>
      <c r="K174" s="68"/>
      <c r="L174" s="68"/>
      <c r="M174" s="68"/>
      <c r="N174" s="68"/>
      <c r="O174" s="68"/>
      <c r="P174" s="68"/>
    </row>
    <row r="175" spans="1:16" ht="12.75">
      <c r="A175" s="30"/>
      <c r="B175" s="30"/>
      <c r="C175" s="30"/>
      <c r="D175" s="30"/>
      <c r="E175" s="65"/>
      <c r="F175" s="65"/>
      <c r="G175" s="111"/>
      <c r="H175" s="68"/>
      <c r="I175" s="68"/>
      <c r="J175" s="68"/>
      <c r="K175" s="68"/>
      <c r="L175" s="68"/>
      <c r="M175" s="68"/>
      <c r="N175" s="68"/>
      <c r="O175" s="68"/>
      <c r="P175" s="68"/>
    </row>
    <row r="176" spans="1:16" ht="12.75">
      <c r="A176" s="30"/>
      <c r="B176" s="30"/>
      <c r="C176" s="30"/>
      <c r="D176" s="101"/>
      <c r="E176" s="168"/>
      <c r="F176" s="168"/>
      <c r="G176" s="111"/>
      <c r="H176" s="68"/>
      <c r="I176" s="68"/>
      <c r="J176" s="68"/>
      <c r="K176" s="68"/>
      <c r="L176" s="68"/>
      <c r="M176" s="68"/>
      <c r="N176" s="68"/>
      <c r="O176" s="68"/>
      <c r="P176" s="68"/>
    </row>
    <row r="177" spans="1:16" ht="12.75">
      <c r="A177" s="30"/>
      <c r="B177" s="30"/>
      <c r="C177" s="30"/>
      <c r="D177" s="30"/>
      <c r="E177" s="168"/>
      <c r="F177" s="168"/>
      <c r="G177" s="111"/>
      <c r="H177" s="68"/>
      <c r="I177" s="68"/>
      <c r="J177" s="68"/>
      <c r="K177" s="68"/>
      <c r="L177" s="68"/>
      <c r="M177" s="68"/>
      <c r="N177" s="68"/>
      <c r="O177" s="68"/>
      <c r="P177" s="68"/>
    </row>
    <row r="178" spans="1:16" ht="12.75">
      <c r="A178" s="30"/>
      <c r="B178" s="30"/>
      <c r="C178" s="30"/>
      <c r="D178" s="28"/>
      <c r="E178" s="169"/>
      <c r="F178" s="169"/>
      <c r="G178" s="111"/>
      <c r="H178" s="68"/>
      <c r="I178" s="68"/>
      <c r="J178" s="68"/>
      <c r="K178" s="68"/>
      <c r="L178" s="68"/>
      <c r="M178" s="68"/>
      <c r="N178" s="68"/>
      <c r="O178" s="68"/>
      <c r="P178" s="68"/>
    </row>
    <row r="179" spans="5:16" ht="12.75">
      <c r="E179" s="68"/>
      <c r="F179" s="68"/>
      <c r="G179" s="111"/>
      <c r="H179" s="68"/>
      <c r="I179" s="68"/>
      <c r="J179" s="68"/>
      <c r="K179" s="68"/>
      <c r="L179" s="68"/>
      <c r="M179" s="68"/>
      <c r="N179" s="68"/>
      <c r="O179" s="68"/>
      <c r="P179" s="68"/>
    </row>
    <row r="180" spans="5:16" ht="12.75">
      <c r="E180" s="68"/>
      <c r="F180" s="68"/>
      <c r="G180" s="111"/>
      <c r="H180" s="68"/>
      <c r="I180" s="68"/>
      <c r="J180" s="68"/>
      <c r="K180" s="68"/>
      <c r="L180" s="68"/>
      <c r="M180" s="68"/>
      <c r="N180" s="68"/>
      <c r="O180" s="68"/>
      <c r="P180" s="68"/>
    </row>
    <row r="181" spans="4:16" ht="12.75">
      <c r="D181" s="29"/>
      <c r="E181" s="170"/>
      <c r="F181" s="170"/>
      <c r="G181" s="171"/>
      <c r="H181" s="171"/>
      <c r="I181" s="172"/>
      <c r="J181" s="172"/>
      <c r="K181" s="172"/>
      <c r="L181" s="173"/>
      <c r="M181" s="174"/>
      <c r="N181" s="173"/>
      <c r="O181" s="68"/>
      <c r="P181" s="68"/>
    </row>
    <row r="182" spans="4:16" ht="12.75">
      <c r="D182" s="27"/>
      <c r="E182" s="26"/>
      <c r="F182" s="26"/>
      <c r="G182" s="175"/>
      <c r="H182" s="175"/>
      <c r="I182" s="176"/>
      <c r="J182" s="177"/>
      <c r="K182" s="177"/>
      <c r="L182" s="174"/>
      <c r="M182" s="178"/>
      <c r="N182" s="178"/>
      <c r="O182" s="68"/>
      <c r="P182" s="68"/>
    </row>
    <row r="183" spans="2:16" ht="12.75">
      <c r="B183" s="68"/>
      <c r="C183" s="68"/>
      <c r="D183" s="26"/>
      <c r="E183" s="26"/>
      <c r="F183" s="26"/>
      <c r="G183" s="111"/>
      <c r="H183" s="68"/>
      <c r="I183" s="68"/>
      <c r="J183" s="68"/>
      <c r="K183" s="68"/>
      <c r="L183" s="68"/>
      <c r="M183" s="68"/>
      <c r="N183" s="68"/>
      <c r="O183" s="68"/>
      <c r="P183" s="68"/>
    </row>
    <row r="184" spans="2:16" ht="12.75">
      <c r="B184" s="68"/>
      <c r="C184" s="26"/>
      <c r="D184" s="26"/>
      <c r="E184" s="26"/>
      <c r="F184" s="26"/>
      <c r="G184" s="112"/>
      <c r="H184" s="68"/>
      <c r="I184" s="68"/>
      <c r="J184" s="68"/>
      <c r="K184" s="68"/>
      <c r="L184" s="68"/>
      <c r="M184" s="68"/>
      <c r="N184" s="68"/>
      <c r="O184" s="68"/>
      <c r="P184" s="68"/>
    </row>
    <row r="185" spans="2:16" ht="12.75">
      <c r="B185" s="68"/>
      <c r="C185" s="26"/>
      <c r="D185" s="26"/>
      <c r="E185" s="26"/>
      <c r="F185" s="26"/>
      <c r="G185" s="112"/>
      <c r="H185" s="68"/>
      <c r="I185" s="68"/>
      <c r="J185" s="68"/>
      <c r="K185" s="68"/>
      <c r="L185" s="68"/>
      <c r="M185" s="68"/>
      <c r="N185" s="68"/>
      <c r="O185" s="68"/>
      <c r="P185" s="68"/>
    </row>
    <row r="186" spans="2:16" ht="12.75">
      <c r="B186" s="68"/>
      <c r="C186" s="68"/>
      <c r="D186" s="68"/>
      <c r="E186" s="68"/>
      <c r="F186" s="68"/>
      <c r="G186" s="111"/>
      <c r="H186" s="68"/>
      <c r="I186" s="68"/>
      <c r="J186" s="68"/>
      <c r="K186" s="68"/>
      <c r="L186" s="68"/>
      <c r="M186" s="68"/>
      <c r="N186" s="68"/>
      <c r="O186" s="68"/>
      <c r="P186" s="68"/>
    </row>
    <row r="187" spans="2:16" ht="12.75">
      <c r="B187" s="68"/>
      <c r="C187" s="68"/>
      <c r="D187" s="68"/>
      <c r="E187" s="68"/>
      <c r="F187" s="68"/>
      <c r="G187" s="111"/>
      <c r="H187" s="68"/>
      <c r="I187" s="68"/>
      <c r="J187" s="68"/>
      <c r="K187" s="68"/>
      <c r="L187" s="68"/>
      <c r="M187" s="68"/>
      <c r="N187" s="68"/>
      <c r="O187" s="68"/>
      <c r="P187" s="68"/>
    </row>
    <row r="188" spans="2:4" ht="12.75">
      <c r="B188" s="68"/>
      <c r="C188" s="68"/>
      <c r="D188" s="68"/>
    </row>
  </sheetData>
  <sheetProtection selectLockedCells="1" selectUnlockedCells="1"/>
  <mergeCells count="19">
    <mergeCell ref="C9:C10"/>
    <mergeCell ref="D67:D68"/>
    <mergeCell ref="A62:F62"/>
    <mergeCell ref="A9:A10"/>
    <mergeCell ref="B119:B120"/>
    <mergeCell ref="E67:E68"/>
    <mergeCell ref="C119:C120"/>
    <mergeCell ref="F67:F68"/>
    <mergeCell ref="D119:D120"/>
    <mergeCell ref="F119:F120"/>
    <mergeCell ref="D9:D10"/>
    <mergeCell ref="A119:A121"/>
    <mergeCell ref="A67:A69"/>
    <mergeCell ref="C67:C68"/>
    <mergeCell ref="B67:B68"/>
    <mergeCell ref="F9:F10"/>
    <mergeCell ref="B9:B10"/>
    <mergeCell ref="E9:E10"/>
    <mergeCell ref="E119:E120"/>
  </mergeCells>
  <printOptions/>
  <pageMargins left="0.7086614173228347" right="0.3937007874015748" top="0.31496062992125984" bottom="0.4724409448818898" header="0.5118110236220472" footer="0.5118110236220472"/>
  <pageSetup fitToHeight="3" fitToWidth="3" horizontalDpi="600" verticalDpi="600" orientation="portrait" paperSize="9" scale="80" r:id="rId1"/>
  <rowBreaks count="2" manualBreakCount="2">
    <brk id="66" max="14" man="1"/>
    <brk id="1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DAMIAN</cp:lastModifiedBy>
  <cp:lastPrinted>2020-04-24T06:29:41Z</cp:lastPrinted>
  <dcterms:created xsi:type="dcterms:W3CDTF">2016-01-22T10:10:57Z</dcterms:created>
  <dcterms:modified xsi:type="dcterms:W3CDTF">2020-04-24T09:27:35Z</dcterms:modified>
  <cp:category/>
  <cp:version/>
  <cp:contentType/>
  <cp:contentStatus/>
</cp:coreProperties>
</file>