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4" activeTab="0"/>
  </bookViews>
  <sheets>
    <sheet name="2000 - 2019 feb" sheetId="1" r:id="rId1"/>
  </sheets>
  <definedNames>
    <definedName name="Excel_BuiltIn_Print_Area" localSheetId="0">'2000 - 2019 feb'!$A$1:$AP$62</definedName>
    <definedName name="Excel_BuiltIn_Print_Area">#N/A</definedName>
    <definedName name="Excel_BuiltIn_Print_Titles">NA()</definedName>
    <definedName name="_xlnm.Print_Area" localSheetId="0">'2000 - 2019 feb'!$A$1:$CX$63</definedName>
  </definedNames>
  <calcPr fullCalcOnLoad="1"/>
</workbook>
</file>

<file path=xl/comments1.xml><?xml version="1.0" encoding="utf-8"?>
<comments xmlns="http://schemas.openxmlformats.org/spreadsheetml/2006/main">
  <authors>
    <author>SIMONA-DANA NICULAE</author>
  </authors>
  <commentList>
    <comment ref="BT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 cf cont</t>
        </r>
      </text>
    </comment>
  </commentList>
</comments>
</file>

<file path=xl/sharedStrings.xml><?xml version="1.0" encoding="utf-8"?>
<sst xmlns="http://schemas.openxmlformats.org/spreadsheetml/2006/main" count="64" uniqueCount="59">
  <si>
    <t>mil RON</t>
  </si>
  <si>
    <t>Indicators</t>
  </si>
  <si>
    <t>Public Debt</t>
  </si>
  <si>
    <t>Government public debt total,</t>
  </si>
  <si>
    <t>% GDP</t>
  </si>
  <si>
    <t xml:space="preserve">           1.By type:</t>
  </si>
  <si>
    <t xml:space="preserve">               - direct debt</t>
  </si>
  <si>
    <t xml:space="preserve">               - guaranteed</t>
  </si>
  <si>
    <t xml:space="preserve">          2. By creditors:</t>
  </si>
  <si>
    <t xml:space="preserve">               - multilateral</t>
  </si>
  <si>
    <t xml:space="preserve">               - bilateral</t>
  </si>
  <si>
    <t xml:space="preserve">               - private banks and others</t>
  </si>
  <si>
    <t xml:space="preserve">        3. By instruments:</t>
  </si>
  <si>
    <t xml:space="preserve">             - Treasury bills (Lei and Eur)</t>
  </si>
  <si>
    <t xml:space="preserve">             - Cash management instruments</t>
  </si>
  <si>
    <t xml:space="preserve">             - Bonds (Lei and Eur)</t>
  </si>
  <si>
    <t xml:space="preserve">             - Eurobonds</t>
  </si>
  <si>
    <t xml:space="preserve">             - Financial leasing</t>
  </si>
  <si>
    <t xml:space="preserve">             - Loans</t>
  </si>
  <si>
    <t xml:space="preserve">             - Loans from State Treasury Accounts</t>
  </si>
  <si>
    <t xml:space="preserve">        4. By currency: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</si>
  <si>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</si>
  <si>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</si>
  <si>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</si>
  <si>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</si>
  <si>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</si>
  <si>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</si>
  <si>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</si>
  <si>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</si>
  <si>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</si>
  <si>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</si>
  <si>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</si>
  <si>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</si>
  <si>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</si>
  <si>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</si>
  <si>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</si>
  <si>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</si>
  <si>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By initial maturity:</t>
  </si>
  <si>
    <t xml:space="preserve">             - short-term</t>
  </si>
  <si>
    <t xml:space="preserve">             - medium-term</t>
  </si>
  <si>
    <t xml:space="preserve">             - long term</t>
  </si>
  <si>
    <t xml:space="preserve">          6.  By interest type:</t>
  </si>
  <si>
    <t xml:space="preserve">             - fixed</t>
  </si>
  <si>
    <t xml:space="preserve">             - variabile</t>
  </si>
  <si>
    <t>Local public debt:</t>
  </si>
  <si>
    <t>out of which:</t>
  </si>
  <si>
    <t xml:space="preserve">         2. By currency: </t>
  </si>
  <si>
    <t xml:space="preserve">               - Lei</t>
  </si>
  <si>
    <t xml:space="preserve">         3. By initial maturity:</t>
  </si>
  <si>
    <t xml:space="preserve">                - between  1 - 5 years</t>
  </si>
  <si>
    <t xml:space="preserve">                - over 5 years</t>
  </si>
  <si>
    <t>Exchange rate Eur / Ron</t>
  </si>
  <si>
    <t>GDP mil. RON</t>
  </si>
  <si>
    <t>*) according to OUG 64/2007concerning public debt, includs guarantees issued by local authorities.</t>
  </si>
  <si>
    <t>mil lei</t>
  </si>
  <si>
    <t>%GDP</t>
  </si>
  <si>
    <t>**)the difference in absolute value / percentage is due to the rounding of the calculation formula in excel</t>
  </si>
  <si>
    <t xml:space="preserve">             - Retail bonds under the Program TEZAUR</t>
  </si>
  <si>
    <t>GDP according to  NCSP release from May 2019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</si>
</sst>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d\-mmm\-yy;@"/>
    <numFmt numFmtId="166" formatCode="d\ mmm\ yyyy"/>
    <numFmt numFmtId="167" formatCode="0.0%"/>
    <numFmt numFmtId="168" formatCode="0.0000"/>
    <numFmt numFmtId="169" formatCode="#,##0.0000"/>
    <numFmt numFmtId="170" formatCode="mmm/yyyy"/>
    <numFmt numFmtId="171" formatCode="[$-418]d\ mmmm\ yyyy"/>
    <numFmt numFmtId="172" formatCode="[$-409]mmmm\ d\,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53"/>
      <name val="Arial"/>
      <family val="2"/>
    </font>
    <font>
      <sz val="11"/>
      <color indexed="25"/>
      <name val="Arial"/>
      <family val="2"/>
    </font>
    <font>
      <sz val="11"/>
      <color indexed="16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167" fontId="2" fillId="0" borderId="17" xfId="0" applyNumberFormat="1" applyFont="1" applyBorder="1" applyAlignment="1">
      <alignment/>
    </xf>
    <xf numFmtId="167" fontId="2" fillId="0" borderId="18" xfId="0" applyNumberFormat="1" applyFont="1" applyBorder="1" applyAlignment="1">
      <alignment/>
    </xf>
    <xf numFmtId="167" fontId="10" fillId="0" borderId="18" xfId="0" applyNumberFormat="1" applyFont="1" applyBorder="1" applyAlignment="1">
      <alignment/>
    </xf>
    <xf numFmtId="167" fontId="10" fillId="0" borderId="19" xfId="0" applyNumberFormat="1" applyFont="1" applyBorder="1" applyAlignment="1">
      <alignment/>
    </xf>
    <xf numFmtId="167" fontId="10" fillId="0" borderId="20" xfId="0" applyNumberFormat="1" applyFont="1" applyBorder="1" applyAlignment="1">
      <alignment/>
    </xf>
    <xf numFmtId="167" fontId="10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/>
    </xf>
    <xf numFmtId="0" fontId="9" fillId="33" borderId="22" xfId="0" applyNumberFormat="1" applyFont="1" applyFill="1" applyBorder="1" applyAlignment="1">
      <alignment/>
    </xf>
    <xf numFmtId="164" fontId="10" fillId="0" borderId="19" xfId="0" applyNumberFormat="1" applyFont="1" applyBorder="1" applyAlignment="1">
      <alignment vertical="top" wrapText="1"/>
    </xf>
    <xf numFmtId="164" fontId="10" fillId="0" borderId="20" xfId="0" applyNumberFormat="1" applyFont="1" applyBorder="1" applyAlignment="1">
      <alignment vertical="top" wrapText="1"/>
    </xf>
    <xf numFmtId="164" fontId="10" fillId="0" borderId="23" xfId="0" applyNumberFormat="1" applyFont="1" applyBorder="1" applyAlignment="1">
      <alignment vertical="top" wrapText="1"/>
    </xf>
    <xf numFmtId="164" fontId="10" fillId="0" borderId="24" xfId="0" applyNumberFormat="1" applyFont="1" applyBorder="1" applyAlignment="1">
      <alignment vertical="top" wrapText="1"/>
    </xf>
    <xf numFmtId="164" fontId="10" fillId="0" borderId="25" xfId="0" applyNumberFormat="1" applyFont="1" applyBorder="1" applyAlignment="1">
      <alignment vertical="top" wrapText="1"/>
    </xf>
    <xf numFmtId="164" fontId="10" fillId="0" borderId="26" xfId="0" applyNumberFormat="1" applyFont="1" applyBorder="1" applyAlignment="1">
      <alignment vertical="top" wrapText="1"/>
    </xf>
    <xf numFmtId="164" fontId="10" fillId="0" borderId="21" xfId="0" applyNumberFormat="1" applyFont="1" applyBorder="1" applyAlignment="1">
      <alignment vertical="top" wrapText="1"/>
    </xf>
    <xf numFmtId="164" fontId="11" fillId="0" borderId="21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vertical="top" wrapText="1"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10" fillId="0" borderId="19" xfId="0" applyNumberFormat="1" applyFont="1" applyFill="1" applyBorder="1" applyAlignment="1">
      <alignment vertical="top" wrapText="1"/>
    </xf>
    <xf numFmtId="164" fontId="10" fillId="0" borderId="20" xfId="0" applyNumberFormat="1" applyFont="1" applyFill="1" applyBorder="1" applyAlignment="1">
      <alignment vertical="top" wrapText="1"/>
    </xf>
    <xf numFmtId="164" fontId="10" fillId="0" borderId="23" xfId="0" applyNumberFormat="1" applyFont="1" applyFill="1" applyBorder="1" applyAlignment="1">
      <alignment vertical="top" wrapText="1"/>
    </xf>
    <xf numFmtId="164" fontId="10" fillId="0" borderId="24" xfId="0" applyNumberFormat="1" applyFont="1" applyFill="1" applyBorder="1" applyAlignment="1">
      <alignment vertical="top" wrapText="1"/>
    </xf>
    <xf numFmtId="164" fontId="10" fillId="0" borderId="25" xfId="0" applyNumberFormat="1" applyFont="1" applyFill="1" applyBorder="1" applyAlignment="1">
      <alignment vertical="top" wrapText="1"/>
    </xf>
    <xf numFmtId="164" fontId="10" fillId="0" borderId="26" xfId="0" applyNumberFormat="1" applyFont="1" applyFill="1" applyBorder="1" applyAlignment="1">
      <alignment vertical="top" wrapText="1"/>
    </xf>
    <xf numFmtId="164" fontId="10" fillId="0" borderId="21" xfId="0" applyNumberFormat="1" applyFont="1" applyFill="1" applyBorder="1" applyAlignment="1">
      <alignment vertical="top" wrapText="1"/>
    </xf>
    <xf numFmtId="164" fontId="11" fillId="0" borderId="21" xfId="0" applyNumberFormat="1" applyFont="1" applyFill="1" applyBorder="1" applyAlignment="1">
      <alignment vertical="top" wrapText="1"/>
    </xf>
    <xf numFmtId="164" fontId="2" fillId="0" borderId="29" xfId="0" applyNumberFormat="1" applyFont="1" applyBorder="1" applyAlignment="1">
      <alignment/>
    </xf>
    <xf numFmtId="164" fontId="2" fillId="0" borderId="27" xfId="0" applyNumberFormat="1" applyFont="1" applyFill="1" applyBorder="1" applyAlignment="1">
      <alignment wrapText="1"/>
    </xf>
    <xf numFmtId="164" fontId="2" fillId="0" borderId="28" xfId="0" applyNumberFormat="1" applyFont="1" applyFill="1" applyBorder="1" applyAlignment="1">
      <alignment wrapText="1"/>
    </xf>
    <xf numFmtId="164" fontId="2" fillId="0" borderId="29" xfId="0" applyNumberFormat="1" applyFont="1" applyFill="1" applyBorder="1" applyAlignment="1">
      <alignment wrapText="1"/>
    </xf>
    <xf numFmtId="164" fontId="2" fillId="0" borderId="1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4" fontId="2" fillId="0" borderId="39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0" fontId="9" fillId="0" borderId="22" xfId="0" applyNumberFormat="1" applyFont="1" applyBorder="1" applyAlignment="1">
      <alignment horizontal="left" vertical="top" wrapText="1"/>
    </xf>
    <xf numFmtId="164" fontId="10" fillId="0" borderId="24" xfId="0" applyNumberFormat="1" applyFont="1" applyFill="1" applyBorder="1" applyAlignment="1">
      <alignment wrapText="1"/>
    </xf>
    <xf numFmtId="164" fontId="10" fillId="0" borderId="20" xfId="0" applyNumberFormat="1" applyFont="1" applyFill="1" applyBorder="1" applyAlignment="1">
      <alignment wrapText="1"/>
    </xf>
    <xf numFmtId="164" fontId="10" fillId="0" borderId="23" xfId="0" applyNumberFormat="1" applyFont="1" applyFill="1" applyBorder="1" applyAlignment="1">
      <alignment wrapText="1"/>
    </xf>
    <xf numFmtId="164" fontId="10" fillId="0" borderId="25" xfId="0" applyNumberFormat="1" applyFont="1" applyFill="1" applyBorder="1" applyAlignment="1">
      <alignment wrapText="1"/>
    </xf>
    <xf numFmtId="164" fontId="10" fillId="0" borderId="26" xfId="0" applyNumberFormat="1" applyFont="1" applyFill="1" applyBorder="1" applyAlignment="1">
      <alignment wrapText="1"/>
    </xf>
    <xf numFmtId="164" fontId="10" fillId="0" borderId="19" xfId="0" applyNumberFormat="1" applyFont="1" applyFill="1" applyBorder="1" applyAlignment="1">
      <alignment wrapText="1"/>
    </xf>
    <xf numFmtId="164" fontId="10" fillId="0" borderId="21" xfId="0" applyNumberFormat="1" applyFont="1" applyFill="1" applyBorder="1" applyAlignment="1">
      <alignment wrapText="1"/>
    </xf>
    <xf numFmtId="164" fontId="11" fillId="0" borderId="21" xfId="0" applyNumberFormat="1" applyFont="1" applyFill="1" applyBorder="1" applyAlignment="1">
      <alignment wrapText="1"/>
    </xf>
    <xf numFmtId="0" fontId="2" fillId="33" borderId="16" xfId="0" applyNumberFormat="1" applyFont="1" applyFill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top" wrapText="1"/>
    </xf>
    <xf numFmtId="164" fontId="4" fillId="0" borderId="2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10" fillId="0" borderId="19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10" fillId="0" borderId="23" xfId="0" applyNumberFormat="1" applyFont="1" applyFill="1" applyBorder="1" applyAlignment="1">
      <alignment/>
    </xf>
    <xf numFmtId="164" fontId="10" fillId="0" borderId="24" xfId="0" applyNumberFormat="1" applyFont="1" applyFill="1" applyBorder="1" applyAlignment="1">
      <alignment/>
    </xf>
    <xf numFmtId="164" fontId="10" fillId="0" borderId="25" xfId="0" applyNumberFormat="1" applyFont="1" applyFill="1" applyBorder="1" applyAlignment="1">
      <alignment/>
    </xf>
    <xf numFmtId="164" fontId="10" fillId="0" borderId="26" xfId="0" applyNumberFormat="1" applyFont="1" applyFill="1" applyBorder="1" applyAlignment="1">
      <alignment/>
    </xf>
    <xf numFmtId="164" fontId="10" fillId="0" borderId="21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8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/>
    </xf>
    <xf numFmtId="164" fontId="11" fillId="0" borderId="24" xfId="0" applyNumberFormat="1" applyFont="1" applyFill="1" applyBorder="1" applyAlignment="1">
      <alignment vertical="top" wrapText="1"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0" fontId="10" fillId="0" borderId="44" xfId="0" applyNumberFormat="1" applyFont="1" applyBorder="1" applyAlignment="1">
      <alignment horizontal="left" vertical="center" wrapText="1"/>
    </xf>
    <xf numFmtId="164" fontId="10" fillId="0" borderId="45" xfId="0" applyNumberFormat="1" applyFont="1" applyFill="1" applyBorder="1" applyAlignment="1">
      <alignment/>
    </xf>
    <xf numFmtId="164" fontId="10" fillId="0" borderId="46" xfId="0" applyNumberFormat="1" applyFont="1" applyFill="1" applyBorder="1" applyAlignment="1">
      <alignment/>
    </xf>
    <xf numFmtId="164" fontId="10" fillId="0" borderId="47" xfId="0" applyNumberFormat="1" applyFont="1" applyFill="1" applyBorder="1" applyAlignment="1">
      <alignment/>
    </xf>
    <xf numFmtId="164" fontId="10" fillId="0" borderId="48" xfId="0" applyNumberFormat="1" applyFont="1" applyFill="1" applyBorder="1" applyAlignment="1">
      <alignment/>
    </xf>
    <xf numFmtId="164" fontId="10" fillId="33" borderId="45" xfId="0" applyNumberFormat="1" applyFont="1" applyFill="1" applyBorder="1" applyAlignment="1">
      <alignment/>
    </xf>
    <xf numFmtId="164" fontId="10" fillId="33" borderId="48" xfId="0" applyNumberFormat="1" applyFont="1" applyFill="1" applyBorder="1" applyAlignment="1">
      <alignment/>
    </xf>
    <xf numFmtId="164" fontId="10" fillId="33" borderId="46" xfId="0" applyNumberFormat="1" applyFont="1" applyFill="1" applyBorder="1" applyAlignment="1">
      <alignment/>
    </xf>
    <xf numFmtId="164" fontId="10" fillId="33" borderId="49" xfId="0" applyNumberFormat="1" applyFont="1" applyFill="1" applyBorder="1" applyAlignment="1">
      <alignment/>
    </xf>
    <xf numFmtId="164" fontId="10" fillId="33" borderId="50" xfId="0" applyNumberFormat="1" applyFont="1" applyFill="1" applyBorder="1" applyAlignment="1">
      <alignment/>
    </xf>
    <xf numFmtId="164" fontId="10" fillId="33" borderId="51" xfId="0" applyNumberFormat="1" applyFont="1" applyFill="1" applyBorder="1" applyAlignment="1">
      <alignment/>
    </xf>
    <xf numFmtId="164" fontId="11" fillId="33" borderId="51" xfId="0" applyNumberFormat="1" applyFont="1" applyFill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52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164" fontId="6" fillId="0" borderId="38" xfId="0" applyNumberFormat="1" applyFont="1" applyBorder="1" applyAlignment="1">
      <alignment/>
    </xf>
    <xf numFmtId="164" fontId="7" fillId="0" borderId="38" xfId="0" applyNumberFormat="1" applyFont="1" applyBorder="1" applyAlignment="1">
      <alignment/>
    </xf>
    <xf numFmtId="164" fontId="2" fillId="0" borderId="33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10" fillId="0" borderId="53" xfId="0" applyNumberFormat="1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vertical="top" wrapText="1"/>
    </xf>
    <xf numFmtId="164" fontId="2" fillId="0" borderId="33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2" fillId="0" borderId="54" xfId="0" applyNumberFormat="1" applyFont="1" applyBorder="1" applyAlignment="1">
      <alignment horizontal="left" vertical="top" wrapText="1"/>
    </xf>
    <xf numFmtId="164" fontId="2" fillId="0" borderId="55" xfId="0" applyNumberFormat="1" applyFont="1" applyFill="1" applyBorder="1" applyAlignment="1">
      <alignment vertical="top" wrapText="1"/>
    </xf>
    <xf numFmtId="164" fontId="2" fillId="0" borderId="43" xfId="0" applyNumberFormat="1" applyFont="1" applyFill="1" applyBorder="1" applyAlignment="1">
      <alignment/>
    </xf>
    <xf numFmtId="164" fontId="2" fillId="0" borderId="43" xfId="0" applyNumberFormat="1" applyFont="1" applyFill="1" applyBorder="1" applyAlignment="1">
      <alignment/>
    </xf>
    <xf numFmtId="164" fontId="2" fillId="0" borderId="56" xfId="0" applyNumberFormat="1" applyFont="1" applyFill="1" applyBorder="1" applyAlignment="1">
      <alignment/>
    </xf>
    <xf numFmtId="164" fontId="2" fillId="0" borderId="57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0" fillId="0" borderId="56" xfId="0" applyNumberFormat="1" applyFont="1" applyBorder="1" applyAlignment="1">
      <alignment/>
    </xf>
    <xf numFmtId="164" fontId="2" fillId="0" borderId="56" xfId="0" applyNumberFormat="1" applyFont="1" applyBorder="1" applyAlignment="1">
      <alignment horizontal="right"/>
    </xf>
    <xf numFmtId="164" fontId="0" fillId="0" borderId="56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4" fillId="0" borderId="5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3" borderId="0" xfId="0" applyNumberFormat="1" applyFont="1" applyFill="1" applyAlignment="1">
      <alignment horizontal="right" vertical="center" wrapText="1"/>
    </xf>
    <xf numFmtId="3" fontId="4" fillId="33" borderId="0" xfId="0" applyNumberFormat="1" applyFont="1" applyFill="1" applyAlignment="1">
      <alignment horizontal="right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164" fontId="49" fillId="0" borderId="38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10" fillId="0" borderId="40" xfId="0" applyNumberFormat="1" applyFont="1" applyFill="1" applyBorder="1" applyAlignment="1">
      <alignment/>
    </xf>
    <xf numFmtId="164" fontId="10" fillId="0" borderId="60" xfId="0" applyNumberFormat="1" applyFont="1" applyBorder="1" applyAlignment="1">
      <alignment vertical="top" wrapText="1"/>
    </xf>
    <xf numFmtId="164" fontId="2" fillId="0" borderId="61" xfId="0" applyNumberFormat="1" applyFont="1" applyBorder="1" applyAlignment="1">
      <alignment/>
    </xf>
    <xf numFmtId="164" fontId="2" fillId="0" borderId="62" xfId="0" applyNumberFormat="1" applyFont="1" applyBorder="1" applyAlignment="1">
      <alignment/>
    </xf>
    <xf numFmtId="164" fontId="10" fillId="0" borderId="60" xfId="0" applyNumberFormat="1" applyFont="1" applyFill="1" applyBorder="1" applyAlignment="1">
      <alignment vertical="top" wrapText="1"/>
    </xf>
    <xf numFmtId="164" fontId="10" fillId="0" borderId="60" xfId="0" applyNumberFormat="1" applyFont="1" applyFill="1" applyBorder="1" applyAlignment="1">
      <alignment wrapText="1"/>
    </xf>
    <xf numFmtId="164" fontId="2" fillId="0" borderId="63" xfId="0" applyNumberFormat="1" applyFont="1" applyBorder="1" applyAlignment="1">
      <alignment/>
    </xf>
    <xf numFmtId="166" fontId="10" fillId="34" borderId="64" xfId="0" applyNumberFormat="1" applyFont="1" applyFill="1" applyBorder="1" applyAlignment="1">
      <alignment horizontal="center" vertical="center"/>
    </xf>
    <xf numFmtId="164" fontId="10" fillId="0" borderId="40" xfId="0" applyNumberFormat="1" applyFont="1" applyBorder="1" applyAlignment="1">
      <alignment vertical="top" wrapText="1"/>
    </xf>
    <xf numFmtId="0" fontId="2" fillId="35" borderId="0" xfId="0" applyNumberFormat="1" applyFont="1" applyFill="1" applyAlignment="1">
      <alignment/>
    </xf>
    <xf numFmtId="164" fontId="10" fillId="0" borderId="39" xfId="0" applyNumberFormat="1" applyFont="1" applyBorder="1" applyAlignment="1">
      <alignment/>
    </xf>
    <xf numFmtId="164" fontId="10" fillId="0" borderId="40" xfId="0" applyNumberFormat="1" applyFont="1" applyBorder="1" applyAlignment="1">
      <alignment/>
    </xf>
    <xf numFmtId="164" fontId="11" fillId="0" borderId="40" xfId="0" applyNumberFormat="1" applyFont="1" applyBorder="1" applyAlignment="1">
      <alignment/>
    </xf>
    <xf numFmtId="164" fontId="10" fillId="0" borderId="65" xfId="0" applyNumberFormat="1" applyFont="1" applyBorder="1" applyAlignment="1">
      <alignment/>
    </xf>
    <xf numFmtId="164" fontId="10" fillId="0" borderId="38" xfId="0" applyNumberFormat="1" applyFont="1" applyBorder="1" applyAlignment="1">
      <alignment/>
    </xf>
    <xf numFmtId="167" fontId="49" fillId="0" borderId="0" xfId="0" applyNumberFormat="1" applyFont="1" applyAlignment="1">
      <alignment/>
    </xf>
    <xf numFmtId="164" fontId="2" fillId="0" borderId="19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0" fillId="36" borderId="66" xfId="0" applyNumberFormat="1" applyFont="1" applyFill="1" applyBorder="1" applyAlignment="1">
      <alignment horizontal="center" vertical="center" wrapText="1"/>
    </xf>
    <xf numFmtId="164" fontId="10" fillId="36" borderId="67" xfId="0" applyNumberFormat="1" applyFont="1" applyFill="1" applyBorder="1" applyAlignment="1">
      <alignment horizontal="center" vertical="center" wrapText="1"/>
    </xf>
    <xf numFmtId="164" fontId="10" fillId="36" borderId="68" xfId="0" applyNumberFormat="1" applyFont="1" applyFill="1" applyBorder="1" applyAlignment="1">
      <alignment horizontal="center" vertical="center" wrapText="1"/>
    </xf>
    <xf numFmtId="164" fontId="10" fillId="36" borderId="69" xfId="0" applyNumberFormat="1" applyFont="1" applyFill="1" applyBorder="1" applyAlignment="1">
      <alignment horizontal="center" vertical="center" wrapText="1"/>
    </xf>
    <xf numFmtId="164" fontId="10" fillId="36" borderId="70" xfId="0" applyNumberFormat="1" applyFont="1" applyFill="1" applyBorder="1" applyAlignment="1">
      <alignment horizontal="center" vertical="center" wrapText="1"/>
    </xf>
    <xf numFmtId="164" fontId="10" fillId="36" borderId="71" xfId="0" applyNumberFormat="1" applyFont="1" applyFill="1" applyBorder="1" applyAlignment="1">
      <alignment horizontal="center" vertical="center" wrapText="1"/>
    </xf>
    <xf numFmtId="164" fontId="10" fillId="36" borderId="72" xfId="0" applyNumberFormat="1" applyFont="1" applyFill="1" applyBorder="1" applyAlignment="1">
      <alignment horizontal="center" vertical="center" wrapText="1"/>
    </xf>
    <xf numFmtId="164" fontId="10" fillId="36" borderId="73" xfId="0" applyNumberFormat="1" applyFont="1" applyFill="1" applyBorder="1" applyAlignment="1">
      <alignment horizontal="center" vertical="center" wrapText="1"/>
    </xf>
    <xf numFmtId="164" fontId="11" fillId="36" borderId="73" xfId="0" applyNumberFormat="1" applyFont="1" applyFill="1" applyBorder="1" applyAlignment="1">
      <alignment horizontal="center" vertical="center" wrapText="1"/>
    </xf>
    <xf numFmtId="164" fontId="10" fillId="36" borderId="74" xfId="0" applyNumberFormat="1" applyFont="1" applyFill="1" applyBorder="1" applyAlignment="1">
      <alignment horizontal="center" vertical="center" wrapText="1"/>
    </xf>
    <xf numFmtId="164" fontId="10" fillId="36" borderId="64" xfId="0" applyNumberFormat="1" applyFont="1" applyFill="1" applyBorder="1" applyAlignment="1">
      <alignment horizontal="center" vertical="center" wrapText="1"/>
    </xf>
    <xf numFmtId="0" fontId="10" fillId="34" borderId="66" xfId="0" applyNumberFormat="1" applyFont="1" applyFill="1" applyBorder="1" applyAlignment="1">
      <alignment horizontal="center" vertical="center" wrapText="1"/>
    </xf>
    <xf numFmtId="0" fontId="10" fillId="34" borderId="67" xfId="0" applyNumberFormat="1" applyFont="1" applyFill="1" applyBorder="1" applyAlignment="1">
      <alignment horizontal="center" vertical="center" wrapText="1"/>
    </xf>
    <xf numFmtId="0" fontId="10" fillId="34" borderId="68" xfId="0" applyNumberFormat="1" applyFont="1" applyFill="1" applyBorder="1" applyAlignment="1">
      <alignment horizontal="center" vertical="center"/>
    </xf>
    <xf numFmtId="0" fontId="10" fillId="34" borderId="70" xfId="0" applyNumberFormat="1" applyFont="1" applyFill="1" applyBorder="1" applyAlignment="1">
      <alignment horizontal="center" vertical="center"/>
    </xf>
    <xf numFmtId="0" fontId="10" fillId="34" borderId="69" xfId="0" applyNumberFormat="1" applyFont="1" applyFill="1" applyBorder="1" applyAlignment="1">
      <alignment horizontal="center" vertical="center"/>
    </xf>
    <xf numFmtId="1" fontId="10" fillId="34" borderId="68" xfId="0" applyNumberFormat="1" applyFont="1" applyFill="1" applyBorder="1" applyAlignment="1">
      <alignment horizontal="center" vertical="center"/>
    </xf>
    <xf numFmtId="165" fontId="10" fillId="34" borderId="68" xfId="0" applyNumberFormat="1" applyFont="1" applyFill="1" applyBorder="1" applyAlignment="1">
      <alignment horizontal="center" vertical="center"/>
    </xf>
    <xf numFmtId="165" fontId="10" fillId="34" borderId="70" xfId="0" applyNumberFormat="1" applyFont="1" applyFill="1" applyBorder="1" applyAlignment="1">
      <alignment horizontal="center" vertical="center"/>
    </xf>
    <xf numFmtId="165" fontId="10" fillId="34" borderId="71" xfId="0" applyNumberFormat="1" applyFont="1" applyFill="1" applyBorder="1" applyAlignment="1">
      <alignment horizontal="center" vertical="center"/>
    </xf>
    <xf numFmtId="1" fontId="10" fillId="34" borderId="70" xfId="0" applyNumberFormat="1" applyFont="1" applyFill="1" applyBorder="1" applyAlignment="1">
      <alignment horizontal="center" vertical="center"/>
    </xf>
    <xf numFmtId="165" fontId="10" fillId="34" borderId="72" xfId="0" applyNumberFormat="1" applyFont="1" applyFill="1" applyBorder="1" applyAlignment="1">
      <alignment horizontal="center" vertical="center"/>
    </xf>
    <xf numFmtId="165" fontId="10" fillId="34" borderId="69" xfId="0" applyNumberFormat="1" applyFont="1" applyFill="1" applyBorder="1" applyAlignment="1">
      <alignment horizontal="center" vertical="center"/>
    </xf>
    <xf numFmtId="0" fontId="2" fillId="37" borderId="75" xfId="0" applyNumberFormat="1" applyFont="1" applyFill="1" applyBorder="1" applyAlignment="1">
      <alignment horizontal="center" vertical="center" wrapText="1"/>
    </xf>
    <xf numFmtId="167" fontId="2" fillId="37" borderId="74" xfId="0" applyNumberFormat="1" applyFont="1" applyFill="1" applyBorder="1" applyAlignment="1">
      <alignment horizontal="center" vertical="center" wrapText="1"/>
    </xf>
    <xf numFmtId="167" fontId="2" fillId="37" borderId="76" xfId="0" applyNumberFormat="1" applyFont="1" applyFill="1" applyBorder="1" applyAlignment="1">
      <alignment horizontal="center" vertical="center" wrapText="1"/>
    </xf>
    <xf numFmtId="167" fontId="2" fillId="0" borderId="64" xfId="0" applyNumberFormat="1" applyFont="1" applyFill="1" applyBorder="1" applyAlignment="1">
      <alignment horizontal="center" vertical="center" wrapText="1"/>
    </xf>
    <xf numFmtId="164" fontId="10" fillId="36" borderId="76" xfId="0" applyNumberFormat="1" applyFont="1" applyFill="1" applyBorder="1" applyAlignment="1">
      <alignment horizontal="center" vertical="center" wrapText="1"/>
    </xf>
    <xf numFmtId="167" fontId="2" fillId="0" borderId="77" xfId="0" applyNumberFormat="1" applyFont="1" applyFill="1" applyBorder="1" applyAlignment="1">
      <alignment horizontal="center" vertical="center" wrapText="1"/>
    </xf>
    <xf numFmtId="164" fontId="10" fillId="0" borderId="78" xfId="0" applyNumberFormat="1" applyFont="1" applyBorder="1" applyAlignment="1">
      <alignment/>
    </xf>
    <xf numFmtId="167" fontId="10" fillId="0" borderId="79" xfId="0" applyNumberFormat="1" applyFont="1" applyBorder="1" applyAlignment="1">
      <alignment/>
    </xf>
    <xf numFmtId="164" fontId="10" fillId="0" borderId="79" xfId="0" applyNumberFormat="1" applyFont="1" applyBorder="1" applyAlignment="1">
      <alignment vertical="top" wrapText="1"/>
    </xf>
    <xf numFmtId="164" fontId="2" fillId="0" borderId="80" xfId="0" applyNumberFormat="1" applyFont="1" applyBorder="1" applyAlignment="1">
      <alignment/>
    </xf>
    <xf numFmtId="164" fontId="2" fillId="0" borderId="81" xfId="0" applyNumberFormat="1" applyFont="1" applyBorder="1" applyAlignment="1">
      <alignment/>
    </xf>
    <xf numFmtId="164" fontId="10" fillId="0" borderId="79" xfId="0" applyNumberFormat="1" applyFont="1" applyFill="1" applyBorder="1" applyAlignment="1">
      <alignment vertical="top" wrapText="1"/>
    </xf>
    <xf numFmtId="164" fontId="2" fillId="0" borderId="78" xfId="0" applyNumberFormat="1" applyFont="1" applyBorder="1" applyAlignment="1">
      <alignment/>
    </xf>
    <xf numFmtId="164" fontId="10" fillId="0" borderId="79" xfId="0" applyNumberFormat="1" applyFont="1" applyFill="1" applyBorder="1" applyAlignment="1">
      <alignment wrapText="1"/>
    </xf>
    <xf numFmtId="164" fontId="10" fillId="0" borderId="79" xfId="0" applyNumberFormat="1" applyFont="1" applyFill="1" applyBorder="1" applyAlignment="1">
      <alignment/>
    </xf>
    <xf numFmtId="164" fontId="10" fillId="33" borderId="82" xfId="0" applyNumberFormat="1" applyFont="1" applyFill="1" applyBorder="1" applyAlignment="1">
      <alignment/>
    </xf>
    <xf numFmtId="164" fontId="49" fillId="0" borderId="81" xfId="0" applyNumberFormat="1" applyFont="1" applyBorder="1" applyAlignment="1">
      <alignment/>
    </xf>
    <xf numFmtId="164" fontId="2" fillId="0" borderId="83" xfId="0" applyNumberFormat="1" applyFont="1" applyBorder="1" applyAlignment="1">
      <alignment/>
    </xf>
    <xf numFmtId="166" fontId="10" fillId="34" borderId="77" xfId="0" applyNumberFormat="1" applyFont="1" applyFill="1" applyBorder="1" applyAlignment="1">
      <alignment horizontal="center" vertical="center"/>
    </xf>
    <xf numFmtId="164" fontId="10" fillId="36" borderId="77" xfId="0" applyNumberFormat="1" applyFont="1" applyFill="1" applyBorder="1" applyAlignment="1">
      <alignment horizontal="center" vertical="center" wrapText="1"/>
    </xf>
    <xf numFmtId="167" fontId="2" fillId="37" borderId="77" xfId="0" applyNumberFormat="1" applyFont="1" applyFill="1" applyBorder="1" applyAlignment="1">
      <alignment horizontal="center" vertical="center" wrapText="1"/>
    </xf>
    <xf numFmtId="167" fontId="11" fillId="0" borderId="79" xfId="0" applyNumberFormat="1" applyFont="1" applyBorder="1" applyAlignment="1">
      <alignment/>
    </xf>
    <xf numFmtId="164" fontId="11" fillId="36" borderId="77" xfId="0" applyNumberFormat="1" applyFont="1" applyFill="1" applyBorder="1" applyAlignment="1">
      <alignment horizontal="center" vertical="center" wrapText="1"/>
    </xf>
    <xf numFmtId="164" fontId="11" fillId="0" borderId="78" xfId="0" applyNumberFormat="1" applyFont="1" applyBorder="1" applyAlignment="1">
      <alignment/>
    </xf>
    <xf numFmtId="164" fontId="11" fillId="0" borderId="79" xfId="0" applyNumberFormat="1" applyFont="1" applyBorder="1" applyAlignment="1">
      <alignment vertical="top" wrapText="1"/>
    </xf>
    <xf numFmtId="164" fontId="4" fillId="0" borderId="80" xfId="0" applyNumberFormat="1" applyFont="1" applyBorder="1" applyAlignment="1">
      <alignment/>
    </xf>
    <xf numFmtId="164" fontId="4" fillId="0" borderId="81" xfId="0" applyNumberFormat="1" applyFont="1" applyBorder="1" applyAlignment="1">
      <alignment/>
    </xf>
    <xf numFmtId="164" fontId="11" fillId="0" borderId="79" xfId="0" applyNumberFormat="1" applyFont="1" applyFill="1" applyBorder="1" applyAlignment="1">
      <alignment vertical="top" wrapText="1"/>
    </xf>
    <xf numFmtId="164" fontId="4" fillId="0" borderId="78" xfId="0" applyNumberFormat="1" applyFont="1" applyBorder="1" applyAlignment="1">
      <alignment/>
    </xf>
    <xf numFmtId="164" fontId="11" fillId="0" borderId="79" xfId="0" applyNumberFormat="1" applyFont="1" applyFill="1" applyBorder="1" applyAlignment="1">
      <alignment wrapText="1"/>
    </xf>
    <xf numFmtId="164" fontId="11" fillId="0" borderId="79" xfId="0" applyNumberFormat="1" applyFont="1" applyFill="1" applyBorder="1" applyAlignment="1">
      <alignment/>
    </xf>
    <xf numFmtId="164" fontId="11" fillId="33" borderId="82" xfId="0" applyNumberFormat="1" applyFont="1" applyFill="1" applyBorder="1" applyAlignment="1">
      <alignment/>
    </xf>
    <xf numFmtId="164" fontId="4" fillId="0" borderId="83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164" fontId="11" fillId="0" borderId="26" xfId="0" applyNumberFormat="1" applyFont="1" applyFill="1" applyBorder="1" applyAlignment="1">
      <alignment vertical="top" wrapText="1"/>
    </xf>
    <xf numFmtId="1" fontId="10" fillId="34" borderId="84" xfId="0" applyNumberFormat="1" applyFont="1" applyFill="1" applyBorder="1" applyAlignment="1">
      <alignment horizontal="center" vertical="center"/>
    </xf>
    <xf numFmtId="164" fontId="10" fillId="36" borderId="84" xfId="0" applyNumberFormat="1" applyFont="1" applyFill="1" applyBorder="1" applyAlignment="1">
      <alignment horizontal="center" vertical="center" wrapText="1"/>
    </xf>
    <xf numFmtId="164" fontId="10" fillId="0" borderId="85" xfId="0" applyNumberFormat="1" applyFont="1" applyBorder="1" applyAlignment="1">
      <alignment/>
    </xf>
    <xf numFmtId="167" fontId="10" fillId="0" borderId="86" xfId="0" applyNumberFormat="1" applyFont="1" applyBorder="1" applyAlignment="1">
      <alignment/>
    </xf>
    <xf numFmtId="164" fontId="10" fillId="0" borderId="87" xfId="0" applyNumberFormat="1" applyFont="1" applyBorder="1" applyAlignment="1">
      <alignment vertical="top" wrapText="1"/>
    </xf>
    <xf numFmtId="164" fontId="2" fillId="0" borderId="86" xfId="0" applyNumberFormat="1" applyFont="1" applyBorder="1" applyAlignment="1">
      <alignment/>
    </xf>
    <xf numFmtId="164" fontId="10" fillId="0" borderId="87" xfId="0" applyNumberFormat="1" applyFont="1" applyFill="1" applyBorder="1" applyAlignment="1">
      <alignment vertical="top" wrapText="1"/>
    </xf>
    <xf numFmtId="164" fontId="10" fillId="0" borderId="87" xfId="0" applyNumberFormat="1" applyFont="1" applyFill="1" applyBorder="1" applyAlignment="1">
      <alignment wrapText="1"/>
    </xf>
    <xf numFmtId="164" fontId="4" fillId="0" borderId="86" xfId="0" applyNumberFormat="1" applyFont="1" applyBorder="1" applyAlignment="1">
      <alignment/>
    </xf>
    <xf numFmtId="164" fontId="10" fillId="0" borderId="87" xfId="0" applyNumberFormat="1" applyFont="1" applyFill="1" applyBorder="1" applyAlignment="1">
      <alignment/>
    </xf>
    <xf numFmtId="164" fontId="10" fillId="33" borderId="88" xfId="0" applyNumberFormat="1" applyFont="1" applyFill="1" applyBorder="1" applyAlignment="1">
      <alignment/>
    </xf>
    <xf numFmtId="164" fontId="2" fillId="0" borderId="89" xfId="0" applyNumberFormat="1" applyFont="1" applyBorder="1" applyAlignment="1">
      <alignment/>
    </xf>
    <xf numFmtId="167" fontId="10" fillId="37" borderId="64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Alignment="1">
      <alignment horizontal="right"/>
    </xf>
    <xf numFmtId="166" fontId="51" fillId="34" borderId="64" xfId="0" applyNumberFormat="1" applyFont="1" applyFill="1" applyBorder="1" applyAlignment="1">
      <alignment horizontal="center" vertical="center"/>
    </xf>
    <xf numFmtId="164" fontId="51" fillId="36" borderId="64" xfId="0" applyNumberFormat="1" applyFont="1" applyFill="1" applyBorder="1" applyAlignment="1">
      <alignment horizontal="center" vertical="center" wrapText="1"/>
    </xf>
    <xf numFmtId="164" fontId="51" fillId="0" borderId="40" xfId="0" applyNumberFormat="1" applyFont="1" applyBorder="1" applyAlignment="1">
      <alignment/>
    </xf>
    <xf numFmtId="167" fontId="51" fillId="0" borderId="21" xfId="0" applyNumberFormat="1" applyFont="1" applyBorder="1" applyAlignment="1">
      <alignment/>
    </xf>
    <xf numFmtId="164" fontId="51" fillId="0" borderId="21" xfId="0" applyNumberFormat="1" applyFont="1" applyBorder="1" applyAlignment="1">
      <alignment vertical="top" wrapText="1"/>
    </xf>
    <xf numFmtId="164" fontId="50" fillId="0" borderId="36" xfId="0" applyNumberFormat="1" applyFont="1" applyBorder="1" applyAlignment="1">
      <alignment/>
    </xf>
    <xf numFmtId="164" fontId="50" fillId="0" borderId="38" xfId="0" applyNumberFormat="1" applyFont="1" applyBorder="1" applyAlignment="1">
      <alignment/>
    </xf>
    <xf numFmtId="164" fontId="51" fillId="0" borderId="21" xfId="0" applyNumberFormat="1" applyFont="1" applyFill="1" applyBorder="1" applyAlignment="1">
      <alignment vertical="top" wrapText="1"/>
    </xf>
    <xf numFmtId="164" fontId="50" fillId="0" borderId="40" xfId="0" applyNumberFormat="1" applyFont="1" applyBorder="1" applyAlignment="1">
      <alignment/>
    </xf>
    <xf numFmtId="164" fontId="51" fillId="0" borderId="21" xfId="0" applyNumberFormat="1" applyFont="1" applyFill="1" applyBorder="1" applyAlignment="1">
      <alignment wrapText="1"/>
    </xf>
    <xf numFmtId="164" fontId="51" fillId="0" borderId="21" xfId="0" applyNumberFormat="1" applyFont="1" applyFill="1" applyBorder="1" applyAlignment="1">
      <alignment/>
    </xf>
    <xf numFmtId="164" fontId="51" fillId="33" borderId="51" xfId="0" applyNumberFormat="1" applyFont="1" applyFill="1" applyBorder="1" applyAlignment="1">
      <alignment/>
    </xf>
    <xf numFmtId="164" fontId="50" fillId="0" borderId="59" xfId="0" applyNumberFormat="1" applyFont="1" applyBorder="1" applyAlignment="1">
      <alignment/>
    </xf>
    <xf numFmtId="169" fontId="50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3"/>
  <sheetViews>
    <sheetView tabSelected="1" view="pageBreakPreview" zoomScaleNormal="75" zoomScaleSheetLayoutView="100" zoomScalePageLayoutView="0" workbookViewId="0" topLeftCell="A1">
      <pane xSplit="1" topLeftCell="BH1" activePane="topRight" state="frozen"/>
      <selection pane="topLeft" activeCell="A1" sqref="A1"/>
      <selection pane="topRight" activeCell="CR62" sqref="CR62"/>
    </sheetView>
  </sheetViews>
  <sheetFormatPr defaultColWidth="9.6640625" defaultRowHeight="15"/>
  <cols>
    <col min="1" max="1" width="40.88671875" style="1" customWidth="1"/>
    <col min="2" max="2" width="9.4453125" style="1" customWidth="1"/>
    <col min="3" max="3" width="9.21484375" style="1" customWidth="1"/>
    <col min="4" max="5" width="9.5546875" style="1" customWidth="1"/>
    <col min="6" max="6" width="9.10546875" style="1" customWidth="1"/>
    <col min="7" max="7" width="8.88671875" style="1" customWidth="1"/>
    <col min="8" max="8" width="9.77734375" style="1" customWidth="1"/>
    <col min="9" max="9" width="9.21484375" style="1" customWidth="1"/>
    <col min="10" max="10" width="9.99609375" style="1" customWidth="1"/>
    <col min="11" max="11" width="9.5546875" style="1" customWidth="1"/>
    <col min="12" max="12" width="9.77734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5546875" style="3" customWidth="1"/>
    <col min="25" max="25" width="9.3359375" style="3" customWidth="1"/>
    <col min="26" max="30" width="0" style="1" hidden="1" customWidth="1"/>
    <col min="31" max="34" width="0" style="3" hidden="1" customWidth="1"/>
    <col min="35" max="35" width="8.5546875" style="1" hidden="1" customWidth="1"/>
    <col min="36" max="36" width="10.21484375" style="1" customWidth="1"/>
    <col min="37" max="47" width="0" style="1" hidden="1" customWidth="1"/>
    <col min="48" max="48" width="10.6640625" style="4" customWidth="1"/>
    <col min="49" max="49" width="10.5546875" style="1" hidden="1" customWidth="1"/>
    <col min="50" max="50" width="13.3359375" style="1" hidden="1" customWidth="1"/>
    <col min="51" max="51" width="12.99609375" style="1" hidden="1" customWidth="1"/>
    <col min="52" max="52" width="13.6640625" style="1" hidden="1" customWidth="1"/>
    <col min="53" max="56" width="11.77734375" style="5" hidden="1" customWidth="1"/>
    <col min="57" max="58" width="11.77734375" style="6" hidden="1" customWidth="1"/>
    <col min="59" max="59" width="11.77734375" style="7" hidden="1" customWidth="1"/>
    <col min="60" max="60" width="10.21484375" style="5" customWidth="1"/>
    <col min="61" max="61" width="9.99609375" style="186" hidden="1" customWidth="1"/>
    <col min="62" max="62" width="10.21484375" style="186" hidden="1" customWidth="1"/>
    <col min="63" max="63" width="10.10546875" style="186" hidden="1" customWidth="1"/>
    <col min="64" max="64" width="10.88671875" style="186" hidden="1" customWidth="1"/>
    <col min="65" max="65" width="10.77734375" style="186" hidden="1" customWidth="1"/>
    <col min="66" max="66" width="9.77734375" style="1" hidden="1" customWidth="1"/>
    <col min="67" max="67" width="9.4453125" style="1" hidden="1" customWidth="1"/>
    <col min="68" max="71" width="10.3359375" style="1" hidden="1" customWidth="1"/>
    <col min="72" max="72" width="10.3359375" style="1" customWidth="1"/>
    <col min="73" max="74" width="0" style="1" hidden="1" customWidth="1"/>
    <col min="75" max="78" width="10.21484375" style="1" hidden="1" customWidth="1"/>
    <col min="79" max="79" width="0" style="1" hidden="1" customWidth="1"/>
    <col min="80" max="80" width="10.21484375" style="1" hidden="1" customWidth="1"/>
    <col min="81" max="81" width="10.10546875" style="1" hidden="1" customWidth="1"/>
    <col min="82" max="82" width="0" style="1" hidden="1" customWidth="1"/>
    <col min="83" max="83" width="10.10546875" style="186" hidden="1" customWidth="1"/>
    <col min="84" max="84" width="10.10546875" style="1" bestFit="1" customWidth="1"/>
    <col min="85" max="86" width="10.21484375" style="1" hidden="1" customWidth="1"/>
    <col min="87" max="87" width="10.77734375" style="1" hidden="1" customWidth="1"/>
    <col min="88" max="89" width="10.6640625" style="1" hidden="1" customWidth="1"/>
    <col min="90" max="90" width="10.10546875" style="1" hidden="1" customWidth="1"/>
    <col min="91" max="92" width="10.88671875" style="1" hidden="1" customWidth="1"/>
    <col min="93" max="94" width="10.10546875" style="186" hidden="1" customWidth="1"/>
    <col min="95" max="95" width="10.77734375" style="186" hidden="1" customWidth="1"/>
    <col min="96" max="96" width="10.10546875" style="1" bestFit="1" customWidth="1"/>
    <col min="97" max="102" width="10.77734375" style="186" bestFit="1" customWidth="1"/>
    <col min="103" max="16384" width="9.6640625" style="1" customWidth="1"/>
  </cols>
  <sheetData>
    <row r="1" spans="1:102" ht="1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P1" s="9"/>
      <c r="X1" s="10"/>
      <c r="Y1" s="11"/>
      <c r="Z1" s="12"/>
      <c r="AA1" s="12"/>
      <c r="AB1" s="12"/>
      <c r="AC1" s="13"/>
      <c r="AD1" s="13"/>
      <c r="AE1" s="14"/>
      <c r="AF1" s="14" t="s">
        <v>0</v>
      </c>
      <c r="AG1" s="14"/>
      <c r="AI1" s="14"/>
      <c r="AJ1" s="14"/>
      <c r="AK1" s="15"/>
      <c r="AL1" s="15"/>
      <c r="AM1" s="15"/>
      <c r="AN1" s="15"/>
      <c r="AO1" s="15"/>
      <c r="AP1" s="15"/>
      <c r="AR1" s="15"/>
      <c r="AS1" s="15"/>
      <c r="AT1" s="15"/>
      <c r="AU1" s="15"/>
      <c r="AV1" s="16"/>
      <c r="AW1" s="15"/>
      <c r="AX1" s="15"/>
      <c r="AY1" s="15"/>
      <c r="AZ1" s="15"/>
      <c r="BA1" s="17"/>
      <c r="BB1" s="17"/>
      <c r="BC1" s="17"/>
      <c r="BD1" s="17"/>
      <c r="BE1" s="18"/>
      <c r="BF1" s="18"/>
      <c r="BG1" s="19"/>
      <c r="BI1" s="1"/>
      <c r="BJ1" s="1"/>
      <c r="BK1" s="1"/>
      <c r="BL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I1" s="188"/>
      <c r="CJ1" s="188"/>
      <c r="CN1" s="188"/>
      <c r="CO1" s="280"/>
      <c r="CP1" s="188"/>
      <c r="CQ1" s="188"/>
      <c r="CR1" s="188"/>
      <c r="CS1" s="188"/>
      <c r="CT1" s="188"/>
      <c r="CU1" s="188"/>
      <c r="CV1" s="188"/>
      <c r="CW1" s="188"/>
      <c r="CX1" s="188" t="s">
        <v>54</v>
      </c>
    </row>
    <row r="2" spans="1:102" ht="36.75" customHeight="1" thickBot="1">
      <c r="A2" s="220" t="s">
        <v>1</v>
      </c>
      <c r="B2" s="221">
        <v>2000</v>
      </c>
      <c r="C2" s="222">
        <v>2001</v>
      </c>
      <c r="D2" s="222">
        <v>2002</v>
      </c>
      <c r="E2" s="222">
        <v>2003</v>
      </c>
      <c r="F2" s="222">
        <v>2004</v>
      </c>
      <c r="G2" s="222">
        <v>2005</v>
      </c>
      <c r="H2" s="222">
        <v>2006</v>
      </c>
      <c r="I2" s="223">
        <v>2007</v>
      </c>
      <c r="J2" s="222">
        <v>2008</v>
      </c>
      <c r="K2" s="224">
        <v>2009</v>
      </c>
      <c r="L2" s="225">
        <v>2010</v>
      </c>
      <c r="M2" s="226">
        <v>40574</v>
      </c>
      <c r="N2" s="226">
        <v>40602</v>
      </c>
      <c r="O2" s="226">
        <v>40633</v>
      </c>
      <c r="P2" s="226">
        <v>40663</v>
      </c>
      <c r="Q2" s="226">
        <v>40694</v>
      </c>
      <c r="R2" s="226">
        <v>40724</v>
      </c>
      <c r="S2" s="227">
        <v>40755</v>
      </c>
      <c r="T2" s="227">
        <v>40786</v>
      </c>
      <c r="U2" s="227">
        <v>40816</v>
      </c>
      <c r="V2" s="226">
        <v>40847</v>
      </c>
      <c r="W2" s="228">
        <v>40877</v>
      </c>
      <c r="X2" s="229">
        <v>2011</v>
      </c>
      <c r="Y2" s="267">
        <v>2012</v>
      </c>
      <c r="Z2" s="228">
        <v>41305</v>
      </c>
      <c r="AA2" s="227">
        <v>41333</v>
      </c>
      <c r="AB2" s="227">
        <v>41364</v>
      </c>
      <c r="AC2" s="227">
        <v>41394</v>
      </c>
      <c r="AD2" s="227">
        <v>41455</v>
      </c>
      <c r="AE2" s="230">
        <v>41486</v>
      </c>
      <c r="AF2" s="227">
        <v>41517</v>
      </c>
      <c r="AG2" s="231">
        <v>41547</v>
      </c>
      <c r="AH2" s="226">
        <v>41578</v>
      </c>
      <c r="AI2" s="228">
        <v>41608</v>
      </c>
      <c r="AJ2" s="267">
        <v>2013</v>
      </c>
      <c r="AK2" s="267">
        <v>41670</v>
      </c>
      <c r="AL2" s="267">
        <v>41698</v>
      </c>
      <c r="AM2" s="267">
        <v>41729</v>
      </c>
      <c r="AN2" s="267">
        <v>41759</v>
      </c>
      <c r="AO2" s="267">
        <v>41790</v>
      </c>
      <c r="AP2" s="267">
        <v>41820</v>
      </c>
      <c r="AQ2" s="267">
        <v>41851</v>
      </c>
      <c r="AR2" s="267">
        <v>41882</v>
      </c>
      <c r="AS2" s="267">
        <v>41912</v>
      </c>
      <c r="AT2" s="267">
        <v>41943</v>
      </c>
      <c r="AU2" s="267">
        <v>41973</v>
      </c>
      <c r="AV2" s="267">
        <v>2014</v>
      </c>
      <c r="AW2" s="267">
        <v>42035</v>
      </c>
      <c r="AX2" s="267">
        <v>42063</v>
      </c>
      <c r="AY2" s="267">
        <v>42094</v>
      </c>
      <c r="AZ2" s="267">
        <v>42124</v>
      </c>
      <c r="BA2" s="267">
        <v>42155</v>
      </c>
      <c r="BB2" s="267">
        <v>42185</v>
      </c>
      <c r="BC2" s="267">
        <v>42216</v>
      </c>
      <c r="BD2" s="267">
        <v>42247</v>
      </c>
      <c r="BE2" s="267">
        <v>42277</v>
      </c>
      <c r="BF2" s="267">
        <v>42308</v>
      </c>
      <c r="BG2" s="267">
        <v>42338</v>
      </c>
      <c r="BH2" s="267">
        <v>2015</v>
      </c>
      <c r="BI2" s="267">
        <v>42400</v>
      </c>
      <c r="BJ2" s="267">
        <v>42429</v>
      </c>
      <c r="BK2" s="267">
        <v>42460</v>
      </c>
      <c r="BL2" s="267">
        <v>42490</v>
      </c>
      <c r="BM2" s="267">
        <v>42521</v>
      </c>
      <c r="BN2" s="267">
        <v>42551</v>
      </c>
      <c r="BO2" s="267">
        <v>42582</v>
      </c>
      <c r="BP2" s="267">
        <v>42613</v>
      </c>
      <c r="BQ2" s="267">
        <v>42643</v>
      </c>
      <c r="BR2" s="267">
        <v>42674</v>
      </c>
      <c r="BS2" s="267">
        <v>42704</v>
      </c>
      <c r="BT2" s="267">
        <v>2016</v>
      </c>
      <c r="BU2" s="267">
        <v>42766</v>
      </c>
      <c r="BV2" s="267">
        <v>42794</v>
      </c>
      <c r="BW2" s="267">
        <v>42825</v>
      </c>
      <c r="BX2" s="267">
        <v>42855</v>
      </c>
      <c r="BY2" s="267">
        <v>42886</v>
      </c>
      <c r="BZ2" s="267">
        <v>42916</v>
      </c>
      <c r="CA2" s="267">
        <v>42947</v>
      </c>
      <c r="CB2" s="267">
        <v>42978</v>
      </c>
      <c r="CC2" s="267">
        <v>43008</v>
      </c>
      <c r="CD2" s="267">
        <v>43039</v>
      </c>
      <c r="CE2" s="267">
        <v>43069</v>
      </c>
      <c r="CF2" s="267">
        <v>2017</v>
      </c>
      <c r="CG2" s="250">
        <v>43131</v>
      </c>
      <c r="CH2" s="197">
        <v>43159</v>
      </c>
      <c r="CI2" s="197">
        <v>43190</v>
      </c>
      <c r="CJ2" s="197">
        <v>43220</v>
      </c>
      <c r="CK2" s="197">
        <v>43251</v>
      </c>
      <c r="CL2" s="197">
        <v>43281</v>
      </c>
      <c r="CM2" s="197">
        <v>43312</v>
      </c>
      <c r="CN2" s="197">
        <v>43343</v>
      </c>
      <c r="CO2" s="281">
        <v>43373</v>
      </c>
      <c r="CP2" s="197">
        <v>43404</v>
      </c>
      <c r="CQ2" s="197">
        <v>43434</v>
      </c>
      <c r="CR2" s="197">
        <v>43465</v>
      </c>
      <c r="CS2" s="197">
        <v>43496</v>
      </c>
      <c r="CT2" s="197">
        <v>43524</v>
      </c>
      <c r="CU2" s="197">
        <v>43555</v>
      </c>
      <c r="CV2" s="197">
        <v>43585</v>
      </c>
      <c r="CW2" s="197">
        <v>43616</v>
      </c>
      <c r="CX2" s="197">
        <v>43646</v>
      </c>
    </row>
    <row r="3" spans="1:102" ht="27.75" customHeight="1" thickBot="1">
      <c r="A3" s="209" t="s">
        <v>2</v>
      </c>
      <c r="B3" s="210">
        <f aca="true" t="shared" si="0" ref="B3:X3">B5+B47</f>
        <v>25288.80802</v>
      </c>
      <c r="C3" s="211">
        <f t="shared" si="0"/>
        <v>33817.842</v>
      </c>
      <c r="D3" s="212">
        <f t="shared" si="0"/>
        <v>43867.39546</v>
      </c>
      <c r="E3" s="211">
        <f t="shared" si="0"/>
        <v>51363.20874999999</v>
      </c>
      <c r="F3" s="211">
        <f t="shared" si="0"/>
        <v>55819.68415</v>
      </c>
      <c r="G3" s="211">
        <f t="shared" si="0"/>
        <v>59010.94912</v>
      </c>
      <c r="H3" s="213">
        <f t="shared" si="0"/>
        <v>63340.806710000004</v>
      </c>
      <c r="I3" s="211">
        <f t="shared" si="0"/>
        <v>82324.33</v>
      </c>
      <c r="J3" s="211">
        <f t="shared" si="0"/>
        <v>109795.09999999999</v>
      </c>
      <c r="K3" s="212">
        <f t="shared" si="0"/>
        <v>147329</v>
      </c>
      <c r="L3" s="213">
        <f t="shared" si="0"/>
        <v>194459.225216</v>
      </c>
      <c r="M3" s="211">
        <f t="shared" si="0"/>
        <v>190381.64851</v>
      </c>
      <c r="N3" s="211">
        <f t="shared" si="0"/>
        <v>193107.39250000002</v>
      </c>
      <c r="O3" s="213">
        <f t="shared" si="0"/>
        <v>198980.506151</v>
      </c>
      <c r="P3" s="213">
        <f t="shared" si="0"/>
        <v>195474.53456</v>
      </c>
      <c r="Q3" s="211">
        <f t="shared" si="0"/>
        <v>200663.32431999999</v>
      </c>
      <c r="R3" s="214">
        <f t="shared" si="0"/>
        <v>214025.75594</v>
      </c>
      <c r="S3" s="213">
        <f t="shared" si="0"/>
        <v>204632.34567</v>
      </c>
      <c r="T3" s="213">
        <f t="shared" si="0"/>
        <v>207572.22164</v>
      </c>
      <c r="U3" s="213">
        <f t="shared" si="0"/>
        <v>212342.97689</v>
      </c>
      <c r="V3" s="211">
        <f t="shared" si="0"/>
        <v>211502.83140999998</v>
      </c>
      <c r="W3" s="214">
        <f t="shared" si="0"/>
        <v>214379.13931</v>
      </c>
      <c r="X3" s="211">
        <f t="shared" si="0"/>
        <v>223268</v>
      </c>
      <c r="Y3" s="268">
        <v>240842.6</v>
      </c>
      <c r="Z3" s="214">
        <f>Z5+Z47</f>
        <v>240638.59999999998</v>
      </c>
      <c r="AA3" s="213">
        <f>AA5+AA47</f>
        <v>249736.2</v>
      </c>
      <c r="AB3" s="213">
        <f>AB5+AB47</f>
        <v>252638.56999999998</v>
      </c>
      <c r="AC3" s="213">
        <v>253188.3</v>
      </c>
      <c r="AD3" s="213">
        <f aca="true" t="shared" si="1" ref="AD3:BI3">AD5+AD47</f>
        <v>254325.2</v>
      </c>
      <c r="AE3" s="215">
        <f t="shared" si="1"/>
        <v>252605.49999999997</v>
      </c>
      <c r="AF3" s="215">
        <f t="shared" si="1"/>
        <v>253657.6</v>
      </c>
      <c r="AG3" s="210">
        <f t="shared" si="1"/>
        <v>261296.3</v>
      </c>
      <c r="AH3" s="211">
        <f t="shared" si="1"/>
        <v>266213.60000000003</v>
      </c>
      <c r="AI3" s="214">
        <f t="shared" si="1"/>
        <v>261530.30000000002</v>
      </c>
      <c r="AJ3" s="210">
        <f t="shared" si="1"/>
        <v>267150.89999999997</v>
      </c>
      <c r="AK3" s="211">
        <f t="shared" si="1"/>
        <v>270820</v>
      </c>
      <c r="AL3" s="211">
        <f t="shared" si="1"/>
        <v>274378.60000000003</v>
      </c>
      <c r="AM3" s="211">
        <f t="shared" si="1"/>
        <v>269394.8</v>
      </c>
      <c r="AN3" s="211">
        <f t="shared" si="1"/>
        <v>276394.2</v>
      </c>
      <c r="AO3" s="216">
        <f t="shared" si="1"/>
        <v>270298.5</v>
      </c>
      <c r="AP3" s="216">
        <f t="shared" si="1"/>
        <v>271751.9</v>
      </c>
      <c r="AQ3" s="216">
        <f t="shared" si="1"/>
        <v>269774.66</v>
      </c>
      <c r="AR3" s="216">
        <f t="shared" si="1"/>
        <v>270137.5</v>
      </c>
      <c r="AS3" s="216">
        <f t="shared" si="1"/>
        <v>268668.2</v>
      </c>
      <c r="AT3" s="216">
        <f t="shared" si="1"/>
        <v>276373.8</v>
      </c>
      <c r="AU3" s="216">
        <f t="shared" si="1"/>
        <v>280298.00000000006</v>
      </c>
      <c r="AV3" s="254">
        <f t="shared" si="1"/>
        <v>295655.5</v>
      </c>
      <c r="AW3" s="216">
        <f t="shared" si="1"/>
        <v>282917.3</v>
      </c>
      <c r="AX3" s="216">
        <f t="shared" si="1"/>
        <v>287269.7</v>
      </c>
      <c r="AY3" s="216">
        <f t="shared" si="1"/>
        <v>283693.43</v>
      </c>
      <c r="AZ3" s="216">
        <f t="shared" si="1"/>
        <v>280022.7</v>
      </c>
      <c r="BA3" s="217">
        <f t="shared" si="1"/>
        <v>283219.8</v>
      </c>
      <c r="BB3" s="217">
        <f t="shared" si="1"/>
        <v>288616.4</v>
      </c>
      <c r="BC3" s="217">
        <f t="shared" si="1"/>
        <v>283363.3</v>
      </c>
      <c r="BD3" s="217">
        <f t="shared" si="1"/>
        <v>285535.80000000005</v>
      </c>
      <c r="BE3" s="217">
        <f t="shared" si="1"/>
        <v>287337</v>
      </c>
      <c r="BF3" s="217">
        <f t="shared" si="1"/>
        <v>292368</v>
      </c>
      <c r="BG3" s="217">
        <f t="shared" si="1"/>
        <v>297309.9</v>
      </c>
      <c r="BH3" s="254">
        <f>BH5+BH47</f>
        <v>315933.69999999995</v>
      </c>
      <c r="BI3" s="216">
        <f t="shared" si="1"/>
        <v>306473</v>
      </c>
      <c r="BJ3" s="216">
        <f aca="true" t="shared" si="2" ref="BJ3:BO3">BJ5+BJ47</f>
        <v>310698.47000000003</v>
      </c>
      <c r="BK3" s="216">
        <f t="shared" si="2"/>
        <v>309543.3</v>
      </c>
      <c r="BL3" s="216">
        <f t="shared" si="2"/>
        <v>314036.8</v>
      </c>
      <c r="BM3" s="214">
        <f t="shared" si="2"/>
        <v>322358.2</v>
      </c>
      <c r="BN3" s="218">
        <f t="shared" si="2"/>
        <v>318471.8</v>
      </c>
      <c r="BO3" s="216">
        <f t="shared" si="2"/>
        <v>316968.4</v>
      </c>
      <c r="BP3" s="216">
        <f aca="true" t="shared" si="3" ref="BP3:BU3">BP5+BP47</f>
        <v>312264.1</v>
      </c>
      <c r="BQ3" s="216">
        <f t="shared" si="3"/>
        <v>313946.7</v>
      </c>
      <c r="BR3" s="216">
        <f t="shared" si="3"/>
        <v>319528.8</v>
      </c>
      <c r="BS3" s="216">
        <f t="shared" si="3"/>
        <v>325288.2</v>
      </c>
      <c r="BT3" s="251">
        <f t="shared" si="3"/>
        <v>339080.2</v>
      </c>
      <c r="BU3" s="216">
        <f t="shared" si="3"/>
        <v>333425.80000000005</v>
      </c>
      <c r="BV3" s="219">
        <f aca="true" t="shared" si="4" ref="BV3:CA3">BV5+BV47</f>
        <v>337815.47000000003</v>
      </c>
      <c r="BW3" s="219">
        <f t="shared" si="4"/>
        <v>342571.3</v>
      </c>
      <c r="BX3" s="219">
        <f t="shared" si="4"/>
        <v>341772.7</v>
      </c>
      <c r="BY3" s="219">
        <f t="shared" si="4"/>
        <v>352485.2</v>
      </c>
      <c r="BZ3" s="219">
        <f t="shared" si="4"/>
        <v>352145.89999999997</v>
      </c>
      <c r="CA3" s="219">
        <f t="shared" si="4"/>
        <v>346619.1</v>
      </c>
      <c r="CB3" s="236">
        <f aca="true" t="shared" si="5" ref="CB3:CG3">CB5+CB47</f>
        <v>348702.1</v>
      </c>
      <c r="CC3" s="236">
        <f t="shared" si="5"/>
        <v>344400.10000000003</v>
      </c>
      <c r="CD3" s="236">
        <f t="shared" si="5"/>
        <v>352867.4</v>
      </c>
      <c r="CE3" s="236">
        <f t="shared" si="5"/>
        <v>358237.5</v>
      </c>
      <c r="CF3" s="218">
        <f t="shared" si="5"/>
        <v>368448.9</v>
      </c>
      <c r="CG3" s="251">
        <f t="shared" si="5"/>
        <v>352956.10000000003</v>
      </c>
      <c r="CH3" s="219">
        <f aca="true" t="shared" si="6" ref="CH3:CM3">CH5+CH47</f>
        <v>372707.4</v>
      </c>
      <c r="CI3" s="219">
        <f t="shared" si="6"/>
        <v>366035.3</v>
      </c>
      <c r="CJ3" s="219">
        <f t="shared" si="6"/>
        <v>367756.65</v>
      </c>
      <c r="CK3" s="219">
        <f t="shared" si="6"/>
        <v>368594.19999999995</v>
      </c>
      <c r="CL3" s="219">
        <f t="shared" si="6"/>
        <v>372811.8</v>
      </c>
      <c r="CM3" s="219">
        <f t="shared" si="6"/>
        <v>370021.4</v>
      </c>
      <c r="CN3" s="219">
        <v>372187.3</v>
      </c>
      <c r="CO3" s="282">
        <f>CO5+CO47</f>
        <v>375712.19999999995</v>
      </c>
      <c r="CP3" s="219">
        <f>CP5+CP47</f>
        <v>389115</v>
      </c>
      <c r="CQ3" s="219">
        <f>CQ5+CQ47</f>
        <v>399364.39999999997</v>
      </c>
      <c r="CR3" s="219">
        <v>400923</v>
      </c>
      <c r="CS3" s="219">
        <f>CS5+CS47</f>
        <v>392968.1</v>
      </c>
      <c r="CT3" s="219">
        <v>396127.69999999995</v>
      </c>
      <c r="CU3" s="219">
        <f>CU5+CU47</f>
        <v>399447.4</v>
      </c>
      <c r="CV3" s="219">
        <f>CV5+CV47</f>
        <v>410483.9</v>
      </c>
      <c r="CW3" s="219">
        <f>CW5+CW47</f>
        <v>410933.69999999995</v>
      </c>
      <c r="CX3" s="219">
        <f>CX5+CX47</f>
        <v>407557.3</v>
      </c>
    </row>
    <row r="4" spans="1:102" s="199" customFormat="1" ht="15.75" customHeight="1" thickBot="1">
      <c r="A4" s="232" t="s">
        <v>55</v>
      </c>
      <c r="B4" s="233">
        <f>B3/B60</f>
        <v>0.3111511291294986</v>
      </c>
      <c r="C4" s="233">
        <f aca="true" t="shared" si="7" ref="C4:BN4">C3/C60</f>
        <v>0.28579987661311446</v>
      </c>
      <c r="D4" s="233">
        <f t="shared" si="7"/>
        <v>0.2874100469108301</v>
      </c>
      <c r="E4" s="233">
        <f t="shared" si="7"/>
        <v>0.2584169366726872</v>
      </c>
      <c r="F4" s="233">
        <f t="shared" si="7"/>
        <v>0.2244025445430717</v>
      </c>
      <c r="G4" s="233">
        <f t="shared" si="7"/>
        <v>0.20314348949529928</v>
      </c>
      <c r="H4" s="233">
        <f t="shared" si="7"/>
        <v>0.18253624370324262</v>
      </c>
      <c r="I4" s="233">
        <f t="shared" si="7"/>
        <v>0.19190759920648798</v>
      </c>
      <c r="J4" s="233">
        <f t="shared" si="7"/>
        <v>0.20406114673357492</v>
      </c>
      <c r="K4" s="233">
        <f t="shared" si="7"/>
        <v>0.27990956501914144</v>
      </c>
      <c r="L4" s="233">
        <f t="shared" si="7"/>
        <v>0.367164677612797</v>
      </c>
      <c r="M4" s="233">
        <f t="shared" si="7"/>
        <v>0.33809562868051857</v>
      </c>
      <c r="N4" s="233">
        <f t="shared" si="7"/>
        <v>0.34293623246315047</v>
      </c>
      <c r="O4" s="233">
        <f t="shared" si="7"/>
        <v>0.35336619810158054</v>
      </c>
      <c r="P4" s="233">
        <f t="shared" si="7"/>
        <v>0.34714000099449477</v>
      </c>
      <c r="Q4" s="233">
        <f t="shared" si="7"/>
        <v>0.3563546871248446</v>
      </c>
      <c r="R4" s="233">
        <f t="shared" si="7"/>
        <v>0.3800848089859705</v>
      </c>
      <c r="S4" s="233">
        <f t="shared" si="7"/>
        <v>0.36340320665956316</v>
      </c>
      <c r="T4" s="233">
        <f t="shared" si="7"/>
        <v>0.36862408389273665</v>
      </c>
      <c r="U4" s="233">
        <f t="shared" si="7"/>
        <v>0.37709638943349316</v>
      </c>
      <c r="V4" s="233">
        <f t="shared" si="7"/>
        <v>0.37560438893624576</v>
      </c>
      <c r="W4" s="233">
        <f t="shared" si="7"/>
        <v>0.3807123766826496</v>
      </c>
      <c r="X4" s="233">
        <f t="shared" si="7"/>
        <v>0.3972301988036907</v>
      </c>
      <c r="Y4" s="233">
        <f t="shared" si="7"/>
        <v>0.40452796342424086</v>
      </c>
      <c r="Z4" s="252">
        <f t="shared" si="7"/>
        <v>0.3860718755013637</v>
      </c>
      <c r="AA4" s="233">
        <f t="shared" si="7"/>
        <v>0.40066773624257984</v>
      </c>
      <c r="AB4" s="233">
        <f t="shared" si="7"/>
        <v>0.40532419380715545</v>
      </c>
      <c r="AC4" s="233">
        <f t="shared" si="7"/>
        <v>0.40620616075725974</v>
      </c>
      <c r="AD4" s="233">
        <f t="shared" si="7"/>
        <v>0.4061405301820505</v>
      </c>
      <c r="AE4" s="233">
        <f t="shared" si="7"/>
        <v>0.4033942829766847</v>
      </c>
      <c r="AF4" s="233">
        <f t="shared" si="7"/>
        <v>0.4050744171191313</v>
      </c>
      <c r="AG4" s="233">
        <f t="shared" si="7"/>
        <v>0.4176731138107417</v>
      </c>
      <c r="AH4" s="233">
        <f t="shared" si="7"/>
        <v>0.4255332480818415</v>
      </c>
      <c r="AI4" s="233">
        <f t="shared" si="7"/>
        <v>0.4180471547314578</v>
      </c>
      <c r="AJ4" s="233">
        <f t="shared" si="7"/>
        <v>0.4190891606636379</v>
      </c>
      <c r="AK4" s="233">
        <f t="shared" si="7"/>
        <v>0.4045052704279493</v>
      </c>
      <c r="AL4" s="233">
        <f t="shared" si="7"/>
        <v>0.40982050732088526</v>
      </c>
      <c r="AM4" s="233">
        <f t="shared" si="7"/>
        <v>0.40237654687941554</v>
      </c>
      <c r="AN4" s="233">
        <f t="shared" si="7"/>
        <v>0.412831070879982</v>
      </c>
      <c r="AO4" s="233">
        <f t="shared" si="7"/>
        <v>0.40372634162458115</v>
      </c>
      <c r="AP4" s="233">
        <f t="shared" si="7"/>
        <v>0.40589718558012355</v>
      </c>
      <c r="AQ4" s="233">
        <f t="shared" si="7"/>
        <v>0.40294391772361005</v>
      </c>
      <c r="AR4" s="233">
        <f t="shared" si="7"/>
        <v>0.403485866960454</v>
      </c>
      <c r="AS4" s="233">
        <f t="shared" si="7"/>
        <v>0.40129127426478983</v>
      </c>
      <c r="AT4" s="233">
        <f t="shared" si="7"/>
        <v>0.41280060079831615</v>
      </c>
      <c r="AU4" s="233">
        <f t="shared" si="7"/>
        <v>0.4186619093509097</v>
      </c>
      <c r="AV4" s="233">
        <f t="shared" si="7"/>
        <v>0.4422074814161145</v>
      </c>
      <c r="AW4" s="252">
        <f t="shared" si="7"/>
        <v>0.39832550200164274</v>
      </c>
      <c r="AX4" s="233">
        <f t="shared" si="7"/>
        <v>0.40445334188599047</v>
      </c>
      <c r="AY4" s="233">
        <f t="shared" si="7"/>
        <v>0.39941823253409353</v>
      </c>
      <c r="AZ4" s="233">
        <f t="shared" si="7"/>
        <v>0.3942501308663536</v>
      </c>
      <c r="BA4" s="233">
        <f t="shared" si="7"/>
        <v>0.39875139841856566</v>
      </c>
      <c r="BB4" s="233">
        <f t="shared" si="7"/>
        <v>0.40634939049646995</v>
      </c>
      <c r="BC4" s="233">
        <f t="shared" si="7"/>
        <v>0.3989534352312216</v>
      </c>
      <c r="BD4" s="233">
        <f t="shared" si="7"/>
        <v>0.4020121458618497</v>
      </c>
      <c r="BE4" s="233">
        <f t="shared" si="7"/>
        <v>0.40454809503924305</v>
      </c>
      <c r="BF4" s="233">
        <f t="shared" si="7"/>
        <v>0.41163135081953733</v>
      </c>
      <c r="BG4" s="233">
        <f t="shared" si="7"/>
        <v>0.4185891607461199</v>
      </c>
      <c r="BH4" s="233">
        <f t="shared" si="7"/>
        <v>0.4433609603305135</v>
      </c>
      <c r="BI4" s="252">
        <f t="shared" si="7"/>
        <v>0.4036640913306915</v>
      </c>
      <c r="BJ4" s="233">
        <f t="shared" si="7"/>
        <v>0.4092295751024923</v>
      </c>
      <c r="BK4" s="233">
        <f t="shared" si="7"/>
        <v>0.40770806864553694</v>
      </c>
      <c r="BL4" s="233">
        <f t="shared" si="7"/>
        <v>0.4136265821667752</v>
      </c>
      <c r="BM4" s="233">
        <f t="shared" si="7"/>
        <v>0.424586928982316</v>
      </c>
      <c r="BN4" s="233">
        <f t="shared" si="7"/>
        <v>0.41946804371494295</v>
      </c>
      <c r="BO4" s="233">
        <f aca="true" t="shared" si="8" ref="BO4:BW4">BO3/BO60</f>
        <v>0.41748787386341757</v>
      </c>
      <c r="BP4" s="233">
        <f t="shared" si="8"/>
        <v>0.4112917098135763</v>
      </c>
      <c r="BQ4" s="233">
        <f t="shared" si="8"/>
        <v>0.41350790895696915</v>
      </c>
      <c r="BR4" s="233">
        <f t="shared" si="8"/>
        <v>0.42086024774119174</v>
      </c>
      <c r="BS4" s="233">
        <f t="shared" si="8"/>
        <v>0.4284461132745666</v>
      </c>
      <c r="BT4" s="233">
        <f t="shared" si="8"/>
        <v>0.44316388611160124</v>
      </c>
      <c r="BU4" s="252">
        <f t="shared" si="8"/>
        <v>0.38935610341450794</v>
      </c>
      <c r="BV4" s="234">
        <f t="shared" si="8"/>
        <v>0.39448211587807724</v>
      </c>
      <c r="BW4" s="235">
        <f t="shared" si="8"/>
        <v>0.4000357096230778</v>
      </c>
      <c r="BX4" s="235">
        <f aca="true" t="shared" si="9" ref="BX4:CD4">BX3/BX60</f>
        <v>0.3991031489628445</v>
      </c>
      <c r="BY4" s="235">
        <f t="shared" si="9"/>
        <v>0.4116126106116668</v>
      </c>
      <c r="BZ4" s="235">
        <f t="shared" si="9"/>
        <v>0.4112163949442273</v>
      </c>
      <c r="CA4" s="235">
        <f t="shared" si="9"/>
        <v>0.4047625053161562</v>
      </c>
      <c r="CB4" s="235">
        <f t="shared" si="9"/>
        <v>0.4071949168554325</v>
      </c>
      <c r="CC4" s="235">
        <f t="shared" si="9"/>
        <v>0.40217128054147844</v>
      </c>
      <c r="CD4" s="235">
        <f t="shared" si="9"/>
        <v>0.41205892251292053</v>
      </c>
      <c r="CE4" s="235">
        <f aca="true" t="shared" si="10" ref="CE4:CJ4">CE3/CE60</f>
        <v>0.4183298265969663</v>
      </c>
      <c r="CF4" s="237">
        <f t="shared" si="10"/>
        <v>0.4300792576164352</v>
      </c>
      <c r="CG4" s="237">
        <f t="shared" si="10"/>
        <v>0.3716892375737153</v>
      </c>
      <c r="CH4" s="235">
        <f t="shared" si="10"/>
        <v>0.3924888374052233</v>
      </c>
      <c r="CI4" s="235">
        <f t="shared" si="10"/>
        <v>0.38546261583824765</v>
      </c>
      <c r="CJ4" s="279">
        <f t="shared" si="10"/>
        <v>0.3872753264532435</v>
      </c>
      <c r="CK4" s="279">
        <f aca="true" t="shared" si="11" ref="CK4:CP4">CK3/CK60</f>
        <v>0.3881573294018534</v>
      </c>
      <c r="CL4" s="279">
        <f t="shared" si="11"/>
        <v>0.39259877843302443</v>
      </c>
      <c r="CM4" s="279">
        <f t="shared" si="11"/>
        <v>0.3896602780117945</v>
      </c>
      <c r="CN4" s="279">
        <f t="shared" si="11"/>
        <v>0.39194113310867734</v>
      </c>
      <c r="CO4" s="279">
        <f t="shared" si="11"/>
        <v>0.3956531171019376</v>
      </c>
      <c r="CP4" s="279">
        <f t="shared" si="11"/>
        <v>0.4097672704296546</v>
      </c>
      <c r="CQ4" s="279">
        <f>CQ3/CQ60</f>
        <v>0.4205606571187868</v>
      </c>
      <c r="CR4" s="279">
        <v>0.42460752269438845</v>
      </c>
      <c r="CS4" s="279">
        <f>CS3/CS60</f>
        <v>0.3811523763336566</v>
      </c>
      <c r="CT4" s="279">
        <v>0.38741095354523225</v>
      </c>
      <c r="CU4" s="279">
        <f>CU3/CU60</f>
        <v>0.38743685741998063</v>
      </c>
      <c r="CV4" s="279">
        <f>CV3/CV60</f>
        <v>0.3981415130940834</v>
      </c>
      <c r="CW4" s="279">
        <f>CW3/CW60</f>
        <v>0.39857778855480114</v>
      </c>
      <c r="CX4" s="279">
        <f>CX3/CX60</f>
        <v>0.3953029097963143</v>
      </c>
    </row>
    <row r="5" spans="1:102" ht="21" customHeight="1">
      <c r="A5" s="20" t="s">
        <v>3</v>
      </c>
      <c r="B5" s="21">
        <f aca="true" t="shared" si="12" ref="B5:X5">B7</f>
        <v>25285.50802</v>
      </c>
      <c r="C5" s="22">
        <f t="shared" si="12"/>
        <v>33776.441999999995</v>
      </c>
      <c r="D5" s="23">
        <f t="shared" si="12"/>
        <v>43793.79546</v>
      </c>
      <c r="E5" s="22">
        <f t="shared" si="12"/>
        <v>51136.60874999999</v>
      </c>
      <c r="F5" s="22">
        <f t="shared" si="12"/>
        <v>55147.28415</v>
      </c>
      <c r="G5" s="22">
        <f t="shared" si="12"/>
        <v>56381.84912</v>
      </c>
      <c r="H5" s="22">
        <f t="shared" si="12"/>
        <v>59868.50671</v>
      </c>
      <c r="I5" s="24">
        <f t="shared" si="12"/>
        <v>76149.63</v>
      </c>
      <c r="J5" s="22">
        <f t="shared" si="12"/>
        <v>100556.4</v>
      </c>
      <c r="K5" s="23">
        <f t="shared" si="12"/>
        <v>136493.8</v>
      </c>
      <c r="L5" s="24">
        <f t="shared" si="12"/>
        <v>182510.3</v>
      </c>
      <c r="M5" s="22">
        <f t="shared" si="12"/>
        <v>178723</v>
      </c>
      <c r="N5" s="22">
        <f t="shared" si="12"/>
        <v>181494.6165</v>
      </c>
      <c r="O5" s="24">
        <f t="shared" si="12"/>
        <v>187476.50066000002</v>
      </c>
      <c r="P5" s="24">
        <f t="shared" si="12"/>
        <v>184007.58496</v>
      </c>
      <c r="Q5" s="22">
        <f t="shared" si="12"/>
        <v>189121.47608</v>
      </c>
      <c r="R5" s="25">
        <f t="shared" si="12"/>
        <v>202388.04462</v>
      </c>
      <c r="S5" s="24">
        <f t="shared" si="12"/>
        <v>192954.63157</v>
      </c>
      <c r="T5" s="24">
        <f t="shared" si="12"/>
        <v>195975.12888</v>
      </c>
      <c r="U5" s="24">
        <f t="shared" si="12"/>
        <v>200634.48911</v>
      </c>
      <c r="V5" s="22">
        <f t="shared" si="12"/>
        <v>199580.80933</v>
      </c>
      <c r="W5" s="24">
        <f t="shared" si="12"/>
        <v>202455.63009</v>
      </c>
      <c r="X5" s="22">
        <f t="shared" si="12"/>
        <v>210388.6</v>
      </c>
      <c r="Y5" s="269">
        <v>226841.9</v>
      </c>
      <c r="Z5" s="25">
        <f>Z7</f>
        <v>226822.3</v>
      </c>
      <c r="AA5" s="24">
        <f>AA7</f>
        <v>235942.1</v>
      </c>
      <c r="AB5" s="24">
        <f>AB7</f>
        <v>238452.66999999998</v>
      </c>
      <c r="AC5" s="24">
        <v>238986.6</v>
      </c>
      <c r="AD5" s="24">
        <f aca="true" t="shared" si="13" ref="AD5:BG5">AD7</f>
        <v>239716.80000000002</v>
      </c>
      <c r="AE5" s="200">
        <f t="shared" si="13"/>
        <v>237881.69999999998</v>
      </c>
      <c r="AF5" s="24">
        <f t="shared" si="13"/>
        <v>238895.5</v>
      </c>
      <c r="AG5" s="22">
        <f t="shared" si="13"/>
        <v>246545.9</v>
      </c>
      <c r="AH5" s="22">
        <f t="shared" si="13"/>
        <v>251459.30000000002</v>
      </c>
      <c r="AI5" s="25">
        <f t="shared" si="13"/>
        <v>246739.2</v>
      </c>
      <c r="AJ5" s="21">
        <f t="shared" si="13"/>
        <v>252179.8</v>
      </c>
      <c r="AK5" s="22">
        <f t="shared" si="13"/>
        <v>255987.19999999998</v>
      </c>
      <c r="AL5" s="22">
        <f t="shared" si="13"/>
        <v>259457.7</v>
      </c>
      <c r="AM5" s="22">
        <f t="shared" si="13"/>
        <v>254545.9</v>
      </c>
      <c r="AN5" s="22">
        <f t="shared" si="13"/>
        <v>261542.1</v>
      </c>
      <c r="AO5" s="201">
        <f t="shared" si="13"/>
        <v>255580.2</v>
      </c>
      <c r="AP5" s="201">
        <f t="shared" si="13"/>
        <v>257060.7</v>
      </c>
      <c r="AQ5" s="201">
        <f t="shared" si="13"/>
        <v>255082.86</v>
      </c>
      <c r="AR5" s="201">
        <f t="shared" si="13"/>
        <v>255443.6</v>
      </c>
      <c r="AS5" s="201">
        <f t="shared" si="13"/>
        <v>253959.2</v>
      </c>
      <c r="AT5" s="201">
        <f t="shared" si="13"/>
        <v>261718.59999999998</v>
      </c>
      <c r="AU5" s="201">
        <f t="shared" si="13"/>
        <v>265653.60000000003</v>
      </c>
      <c r="AV5" s="255">
        <f t="shared" si="13"/>
        <v>280763.8</v>
      </c>
      <c r="AW5" s="201">
        <f t="shared" si="13"/>
        <v>268239.7</v>
      </c>
      <c r="AX5" s="201">
        <f t="shared" si="13"/>
        <v>272404.3</v>
      </c>
      <c r="AY5" s="201">
        <f t="shared" si="13"/>
        <v>268935.1</v>
      </c>
      <c r="AZ5" s="201">
        <f t="shared" si="13"/>
        <v>265250.9</v>
      </c>
      <c r="BA5" s="202">
        <f t="shared" si="13"/>
        <v>266229.1</v>
      </c>
      <c r="BB5" s="202">
        <f t="shared" si="13"/>
        <v>273834.7</v>
      </c>
      <c r="BC5" s="202">
        <f t="shared" si="13"/>
        <v>268640.8</v>
      </c>
      <c r="BD5" s="202">
        <f t="shared" si="13"/>
        <v>270339.9</v>
      </c>
      <c r="BE5" s="202">
        <f t="shared" si="13"/>
        <v>272131.4</v>
      </c>
      <c r="BF5" s="202">
        <f t="shared" si="13"/>
        <v>277077.8</v>
      </c>
      <c r="BG5" s="202">
        <f t="shared" si="13"/>
        <v>281841</v>
      </c>
      <c r="BH5" s="255">
        <f aca="true" t="shared" si="14" ref="BH5:BN5">BH7</f>
        <v>299142.6</v>
      </c>
      <c r="BI5" s="201">
        <f t="shared" si="14"/>
        <v>290246.1</v>
      </c>
      <c r="BJ5" s="201">
        <f t="shared" si="14"/>
        <v>294597.57</v>
      </c>
      <c r="BK5" s="201">
        <f t="shared" si="14"/>
        <v>293582.39999999997</v>
      </c>
      <c r="BL5" s="201">
        <f t="shared" si="14"/>
        <v>297926.2</v>
      </c>
      <c r="BM5" s="25">
        <f t="shared" si="14"/>
        <v>306275.5</v>
      </c>
      <c r="BN5" s="203">
        <f t="shared" si="14"/>
        <v>302421.1</v>
      </c>
      <c r="BO5" s="204">
        <f aca="true" t="shared" si="15" ref="BO5:BT5">BO7</f>
        <v>300994.80000000005</v>
      </c>
      <c r="BP5" s="201">
        <f t="shared" si="15"/>
        <v>296362.8</v>
      </c>
      <c r="BQ5" s="201">
        <f t="shared" si="15"/>
        <v>298090.60000000003</v>
      </c>
      <c r="BR5" s="201">
        <f t="shared" si="15"/>
        <v>303627.5</v>
      </c>
      <c r="BS5" s="201">
        <f t="shared" si="15"/>
        <v>309343.8</v>
      </c>
      <c r="BT5" s="238">
        <f t="shared" si="15"/>
        <v>323039.3</v>
      </c>
      <c r="BU5" s="201">
        <f aca="true" t="shared" si="16" ref="BU5:BZ5">BU7</f>
        <v>317877.30000000005</v>
      </c>
      <c r="BV5" s="201">
        <f t="shared" si="16"/>
        <v>322256.67000000004</v>
      </c>
      <c r="BW5" s="201">
        <f t="shared" si="16"/>
        <v>326781</v>
      </c>
      <c r="BX5" s="201">
        <f t="shared" si="16"/>
        <v>326123.8</v>
      </c>
      <c r="BY5" s="201">
        <f t="shared" si="16"/>
        <v>337023.2</v>
      </c>
      <c r="BZ5" s="201">
        <f t="shared" si="16"/>
        <v>336593.39999999997</v>
      </c>
      <c r="CA5" s="201">
        <f aca="true" t="shared" si="17" ref="CA5:CF5">CA7</f>
        <v>330993.89999999997</v>
      </c>
      <c r="CB5" s="201">
        <f t="shared" si="17"/>
        <v>333090.5</v>
      </c>
      <c r="CC5" s="201">
        <f t="shared" si="17"/>
        <v>328871.2</v>
      </c>
      <c r="CD5" s="201">
        <f t="shared" si="17"/>
        <v>337195.7</v>
      </c>
      <c r="CE5" s="201">
        <f t="shared" si="17"/>
        <v>342564.6</v>
      </c>
      <c r="CF5" s="238">
        <f t="shared" si="17"/>
        <v>353015.9</v>
      </c>
      <c r="CG5" s="238">
        <f aca="true" t="shared" si="18" ref="CG5:CL5">CG7</f>
        <v>337601.7</v>
      </c>
      <c r="CH5" s="201">
        <f t="shared" si="18"/>
        <v>357455</v>
      </c>
      <c r="CI5" s="201">
        <f t="shared" si="18"/>
        <v>350874.7</v>
      </c>
      <c r="CJ5" s="201">
        <f t="shared" si="18"/>
        <v>352000.15</v>
      </c>
      <c r="CK5" s="201">
        <f t="shared" si="18"/>
        <v>353484.1</v>
      </c>
      <c r="CL5" s="201">
        <f t="shared" si="18"/>
        <v>357744.39999999997</v>
      </c>
      <c r="CM5" s="201">
        <f>CM7</f>
        <v>355123</v>
      </c>
      <c r="CN5" s="201">
        <v>357931.2</v>
      </c>
      <c r="CO5" s="283">
        <f>CO7</f>
        <v>360343.1</v>
      </c>
      <c r="CP5" s="201">
        <f>CP7</f>
        <v>373820.7</v>
      </c>
      <c r="CQ5" s="201">
        <f>CQ7</f>
        <v>383834.6</v>
      </c>
      <c r="CR5" s="201">
        <v>384965</v>
      </c>
      <c r="CS5" s="201">
        <f>CS7</f>
        <v>377126.1</v>
      </c>
      <c r="CT5" s="201">
        <v>380164.1</v>
      </c>
      <c r="CU5" s="201">
        <f>CU7</f>
        <v>383574</v>
      </c>
      <c r="CV5" s="201">
        <f>CV7</f>
        <v>394737.4</v>
      </c>
      <c r="CW5" s="201">
        <f>CW7</f>
        <v>395296.1</v>
      </c>
      <c r="CX5" s="201">
        <f>CX7</f>
        <v>391572.8</v>
      </c>
    </row>
    <row r="6" spans="1:102" ht="15">
      <c r="A6" s="26" t="s">
        <v>4</v>
      </c>
      <c r="B6" s="27">
        <f aca="true" t="shared" si="19" ref="B6:AG6">B5/B60</f>
        <v>0.3111105262380806</v>
      </c>
      <c r="C6" s="28">
        <f t="shared" si="19"/>
        <v>0.28544999873232646</v>
      </c>
      <c r="D6" s="28">
        <f t="shared" si="19"/>
        <v>0.2869278350258796</v>
      </c>
      <c r="E6" s="28">
        <f t="shared" si="19"/>
        <v>0.2572768739843329</v>
      </c>
      <c r="F6" s="28">
        <f t="shared" si="19"/>
        <v>0.22169940723141493</v>
      </c>
      <c r="G6" s="28">
        <f t="shared" si="19"/>
        <v>0.1940928886119612</v>
      </c>
      <c r="H6" s="28">
        <f t="shared" si="19"/>
        <v>0.1725297308100195</v>
      </c>
      <c r="I6" s="28">
        <f t="shared" si="19"/>
        <v>0.17751365451455667</v>
      </c>
      <c r="J6" s="28">
        <f t="shared" si="19"/>
        <v>0.18689043769166433</v>
      </c>
      <c r="K6" s="28">
        <f t="shared" si="19"/>
        <v>0.2593238275275722</v>
      </c>
      <c r="L6" s="28">
        <f t="shared" si="19"/>
        <v>0.34460353005150823</v>
      </c>
      <c r="M6" s="28">
        <f t="shared" si="19"/>
        <v>0.3173912271354999</v>
      </c>
      <c r="N6" s="28">
        <f t="shared" si="19"/>
        <v>0.32231329515183804</v>
      </c>
      <c r="O6" s="28">
        <f t="shared" si="19"/>
        <v>0.33293642454271005</v>
      </c>
      <c r="P6" s="28">
        <f t="shared" si="19"/>
        <v>0.3267760343811046</v>
      </c>
      <c r="Q6" s="28">
        <f t="shared" si="19"/>
        <v>0.33585770925235303</v>
      </c>
      <c r="R6" s="28">
        <f t="shared" si="19"/>
        <v>0.359417589451252</v>
      </c>
      <c r="S6" s="28">
        <f t="shared" si="19"/>
        <v>0.3426649468478068</v>
      </c>
      <c r="T6" s="28">
        <f t="shared" si="19"/>
        <v>0.34802899818859884</v>
      </c>
      <c r="U6" s="28">
        <f t="shared" si="19"/>
        <v>0.3563034791511277</v>
      </c>
      <c r="V6" s="28">
        <f t="shared" si="19"/>
        <v>0.35443226661339017</v>
      </c>
      <c r="W6" s="28">
        <f t="shared" si="19"/>
        <v>0.35953761337240275</v>
      </c>
      <c r="X6" s="29">
        <f t="shared" si="19"/>
        <v>0.374315644893268</v>
      </c>
      <c r="Y6" s="270">
        <f t="shared" si="19"/>
        <v>0.3810118800672526</v>
      </c>
      <c r="Z6" s="265">
        <f t="shared" si="19"/>
        <v>0.3639055029680731</v>
      </c>
      <c r="AA6" s="29">
        <f t="shared" si="19"/>
        <v>0.3785369805871972</v>
      </c>
      <c r="AB6" s="29">
        <f t="shared" si="19"/>
        <v>0.3825648483876143</v>
      </c>
      <c r="AC6" s="29">
        <f t="shared" si="19"/>
        <v>0.38342146638857694</v>
      </c>
      <c r="AD6" s="29">
        <f t="shared" si="19"/>
        <v>0.3828118811881188</v>
      </c>
      <c r="AE6" s="29">
        <f t="shared" si="19"/>
        <v>0.37988134781220056</v>
      </c>
      <c r="AF6" s="29">
        <f t="shared" si="19"/>
        <v>0.38150031938677736</v>
      </c>
      <c r="AG6" s="29">
        <f t="shared" si="19"/>
        <v>0.3940951086956522</v>
      </c>
      <c r="AH6" s="29">
        <f aca="true" t="shared" si="20" ref="AH6:BG6">AH5/AH60</f>
        <v>0.40194900895140667</v>
      </c>
      <c r="AI6" s="29">
        <f t="shared" si="20"/>
        <v>0.39440409207161126</v>
      </c>
      <c r="AJ6" s="30">
        <f t="shared" si="20"/>
        <v>0.39560346125850254</v>
      </c>
      <c r="AK6" s="31">
        <f t="shared" si="20"/>
        <v>0.38235053379400913</v>
      </c>
      <c r="AL6" s="31">
        <f t="shared" si="20"/>
        <v>0.38753418175582954</v>
      </c>
      <c r="AM6" s="31">
        <f t="shared" si="20"/>
        <v>0.38019776277906264</v>
      </c>
      <c r="AN6" s="31">
        <f t="shared" si="20"/>
        <v>0.3906475071589756</v>
      </c>
      <c r="AO6" s="32">
        <f t="shared" si="20"/>
        <v>0.38174262579214746</v>
      </c>
      <c r="AP6" s="32">
        <f t="shared" si="20"/>
        <v>0.38395394716009884</v>
      </c>
      <c r="AQ6" s="32">
        <f t="shared" si="20"/>
        <v>0.38099978312471283</v>
      </c>
      <c r="AR6" s="32">
        <f t="shared" si="20"/>
        <v>0.38153859573550297</v>
      </c>
      <c r="AS6" s="32">
        <f t="shared" si="20"/>
        <v>0.37932144920488026</v>
      </c>
      <c r="AT6" s="32">
        <f t="shared" si="20"/>
        <v>0.39091113311064285</v>
      </c>
      <c r="AU6" s="32">
        <f t="shared" si="20"/>
        <v>0.3967885728829418</v>
      </c>
      <c r="AV6" s="253">
        <f t="shared" si="20"/>
        <v>0.4199341898622474</v>
      </c>
      <c r="AW6" s="32">
        <f t="shared" si="20"/>
        <v>0.37766058547593256</v>
      </c>
      <c r="AX6" s="32">
        <f t="shared" si="20"/>
        <v>0.3835240176012782</v>
      </c>
      <c r="AY6" s="32">
        <f t="shared" si="20"/>
        <v>0.3786396544621414</v>
      </c>
      <c r="AZ6" s="32">
        <f t="shared" si="20"/>
        <v>0.3734525880845306</v>
      </c>
      <c r="BA6" s="33">
        <f t="shared" si="20"/>
        <v>0.37482981742348576</v>
      </c>
      <c r="BB6" s="33">
        <f t="shared" si="20"/>
        <v>0.3855379092864567</v>
      </c>
      <c r="BC6" s="33">
        <f t="shared" si="20"/>
        <v>0.3782253030059417</v>
      </c>
      <c r="BD6" s="33">
        <f t="shared" si="20"/>
        <v>0.38061750334311095</v>
      </c>
      <c r="BE6" s="33">
        <f t="shared" si="20"/>
        <v>0.383139795676722</v>
      </c>
      <c r="BF6" s="33">
        <f t="shared" si="20"/>
        <v>0.3901039412524818</v>
      </c>
      <c r="BG6" s="33">
        <f t="shared" si="20"/>
        <v>0.39681015551062093</v>
      </c>
      <c r="BH6" s="253">
        <f aca="true" t="shared" si="21" ref="BH6:BU6">BH5/BH60</f>
        <v>0.41979741449477115</v>
      </c>
      <c r="BI6" s="33">
        <f t="shared" si="21"/>
        <v>0.38229119112867044</v>
      </c>
      <c r="BJ6" s="33">
        <f t="shared" si="21"/>
        <v>0.38802263299631545</v>
      </c>
      <c r="BK6" s="33">
        <f t="shared" si="21"/>
        <v>0.3866855244236314</v>
      </c>
      <c r="BL6" s="33">
        <f t="shared" si="21"/>
        <v>0.3924068639214739</v>
      </c>
      <c r="BM6" s="33">
        <f t="shared" si="21"/>
        <v>0.4034039586010944</v>
      </c>
      <c r="BN6" s="33">
        <f t="shared" si="21"/>
        <v>0.39832722142155486</v>
      </c>
      <c r="BO6" s="33">
        <f t="shared" si="21"/>
        <v>0.3964486021191532</v>
      </c>
      <c r="BP6" s="33">
        <f t="shared" si="21"/>
        <v>0.3903476664052607</v>
      </c>
      <c r="BQ6" s="33">
        <f t="shared" si="21"/>
        <v>0.3926233997227183</v>
      </c>
      <c r="BR6" s="33">
        <f t="shared" si="21"/>
        <v>0.3999162043328761</v>
      </c>
      <c r="BS6" s="33">
        <f t="shared" si="21"/>
        <v>0.40744530166045023</v>
      </c>
      <c r="BT6" s="253">
        <f t="shared" si="21"/>
        <v>0.4221990890496448</v>
      </c>
      <c r="BU6" s="33">
        <f t="shared" si="21"/>
        <v>0.3711994299539045</v>
      </c>
      <c r="BV6" s="32">
        <f aca="true" t="shared" si="22" ref="BV6:CA6">BV5/BV60</f>
        <v>0.3763134146503809</v>
      </c>
      <c r="BW6" s="32">
        <f t="shared" si="22"/>
        <v>0.38159667557188526</v>
      </c>
      <c r="BX6" s="32">
        <f t="shared" si="22"/>
        <v>0.3808292339666945</v>
      </c>
      <c r="BY6" s="32">
        <f t="shared" si="22"/>
        <v>0.3935569470397563</v>
      </c>
      <c r="BZ6" s="32">
        <f t="shared" si="22"/>
        <v>0.393055050506112</v>
      </c>
      <c r="CA6" s="32">
        <f t="shared" si="22"/>
        <v>0.38651626586176374</v>
      </c>
      <c r="CB6" s="32">
        <f aca="true" t="shared" si="23" ref="CB6:CG6">CB5/CB60</f>
        <v>0.38896455872458024</v>
      </c>
      <c r="CC6" s="32">
        <f t="shared" si="23"/>
        <v>0.38403749487068284</v>
      </c>
      <c r="CD6" s="32">
        <f t="shared" si="23"/>
        <v>0.39375838294495324</v>
      </c>
      <c r="CE6" s="32">
        <f t="shared" si="23"/>
        <v>0.4000278857357455</v>
      </c>
      <c r="CF6" s="239">
        <f t="shared" si="23"/>
        <v>0.4120647834714603</v>
      </c>
      <c r="CG6" s="239">
        <f t="shared" si="23"/>
        <v>0.35551990311710197</v>
      </c>
      <c r="CH6" s="32">
        <f aca="true" t="shared" si="24" ref="CH6:CM6">CH5/CH60</f>
        <v>0.37642691659646166</v>
      </c>
      <c r="CI6" s="32">
        <f t="shared" si="24"/>
        <v>0.36949736731255267</v>
      </c>
      <c r="CJ6" s="32">
        <f t="shared" si="24"/>
        <v>0.370682550547599</v>
      </c>
      <c r="CK6" s="32">
        <f t="shared" si="24"/>
        <v>0.37224526116259476</v>
      </c>
      <c r="CL6" s="32">
        <f t="shared" si="24"/>
        <v>0.37673167649536643</v>
      </c>
      <c r="CM6" s="32">
        <f t="shared" si="24"/>
        <v>0.3739711457455771</v>
      </c>
      <c r="CN6" s="32">
        <v>0.3787631746031746</v>
      </c>
      <c r="CO6" s="284">
        <f>CO5/CO60</f>
        <v>0.37946830244313395</v>
      </c>
      <c r="CP6" s="32">
        <f>CP5/CP60</f>
        <v>0.3936612257792755</v>
      </c>
      <c r="CQ6" s="32">
        <f>CQ5/CQ60</f>
        <v>0.4042066133108677</v>
      </c>
      <c r="CR6" s="32">
        <v>0.40770680398491793</v>
      </c>
      <c r="CS6" s="32">
        <f>CS5/CS60</f>
        <v>0.3657867119301649</v>
      </c>
      <c r="CT6" s="32">
        <v>0.37179863080684594</v>
      </c>
      <c r="CU6" s="32">
        <f>CU5/CU60</f>
        <v>0.37204073714839964</v>
      </c>
      <c r="CV6" s="32">
        <f>CV5/CV60</f>
        <v>0.38286847720659556</v>
      </c>
      <c r="CW6" s="32">
        <f>CW5/CW60</f>
        <v>0.3834103782735208</v>
      </c>
      <c r="CX6" s="32">
        <f>CX5/CX60</f>
        <v>0.3797990300678952</v>
      </c>
    </row>
    <row r="7" spans="1:102" ht="15">
      <c r="A7" s="34" t="s">
        <v>5</v>
      </c>
      <c r="B7" s="35">
        <f aca="true" t="shared" si="25" ref="B7:X7">B8+B9</f>
        <v>25285.50802</v>
      </c>
      <c r="C7" s="36">
        <f t="shared" si="25"/>
        <v>33776.441999999995</v>
      </c>
      <c r="D7" s="37">
        <f t="shared" si="25"/>
        <v>43793.79546</v>
      </c>
      <c r="E7" s="36">
        <f t="shared" si="25"/>
        <v>51136.60874999999</v>
      </c>
      <c r="F7" s="36">
        <f t="shared" si="25"/>
        <v>55147.28415</v>
      </c>
      <c r="G7" s="36">
        <f t="shared" si="25"/>
        <v>56381.84912</v>
      </c>
      <c r="H7" s="36">
        <f t="shared" si="25"/>
        <v>59868.50671</v>
      </c>
      <c r="I7" s="38">
        <f t="shared" si="25"/>
        <v>76149.63</v>
      </c>
      <c r="J7" s="36">
        <f t="shared" si="25"/>
        <v>100556.4</v>
      </c>
      <c r="K7" s="37">
        <f t="shared" si="25"/>
        <v>136493.8</v>
      </c>
      <c r="L7" s="38">
        <f t="shared" si="25"/>
        <v>182510.3</v>
      </c>
      <c r="M7" s="36">
        <f t="shared" si="25"/>
        <v>178723</v>
      </c>
      <c r="N7" s="36">
        <f t="shared" si="25"/>
        <v>181494.6165</v>
      </c>
      <c r="O7" s="38">
        <f t="shared" si="25"/>
        <v>187476.50066000002</v>
      </c>
      <c r="P7" s="36">
        <f t="shared" si="25"/>
        <v>184007.58496</v>
      </c>
      <c r="Q7" s="36">
        <f t="shared" si="25"/>
        <v>189121.47608</v>
      </c>
      <c r="R7" s="38">
        <f t="shared" si="25"/>
        <v>202388.04462</v>
      </c>
      <c r="S7" s="38">
        <f t="shared" si="25"/>
        <v>192954.63157</v>
      </c>
      <c r="T7" s="38">
        <f t="shared" si="25"/>
        <v>195975.12888</v>
      </c>
      <c r="U7" s="38">
        <f t="shared" si="25"/>
        <v>200634.48911</v>
      </c>
      <c r="V7" s="36">
        <f t="shared" si="25"/>
        <v>199580.80933</v>
      </c>
      <c r="W7" s="38">
        <f t="shared" si="25"/>
        <v>202455.63009</v>
      </c>
      <c r="X7" s="36">
        <f t="shared" si="25"/>
        <v>210388.6</v>
      </c>
      <c r="Y7" s="271">
        <v>226841.9</v>
      </c>
      <c r="Z7" s="40">
        <f aca="true" t="shared" si="26" ref="Z7:BH7">Z8+Z9</f>
        <v>226822.3</v>
      </c>
      <c r="AA7" s="38">
        <f t="shared" si="26"/>
        <v>235942.1</v>
      </c>
      <c r="AB7" s="38">
        <f t="shared" si="26"/>
        <v>238452.66999999998</v>
      </c>
      <c r="AC7" s="38">
        <f t="shared" si="26"/>
        <v>238986.58</v>
      </c>
      <c r="AD7" s="38">
        <f t="shared" si="26"/>
        <v>239716.80000000002</v>
      </c>
      <c r="AE7" s="39">
        <f t="shared" si="26"/>
        <v>237881.69999999998</v>
      </c>
      <c r="AF7" s="38">
        <f t="shared" si="26"/>
        <v>238895.5</v>
      </c>
      <c r="AG7" s="36">
        <f t="shared" si="26"/>
        <v>246545.9</v>
      </c>
      <c r="AH7" s="36">
        <f t="shared" si="26"/>
        <v>251459.30000000002</v>
      </c>
      <c r="AI7" s="40">
        <f t="shared" si="26"/>
        <v>246739.2</v>
      </c>
      <c r="AJ7" s="206">
        <f t="shared" si="26"/>
        <v>252179.8</v>
      </c>
      <c r="AK7" s="36">
        <f t="shared" si="26"/>
        <v>255987.19999999998</v>
      </c>
      <c r="AL7" s="36">
        <f t="shared" si="26"/>
        <v>259457.7</v>
      </c>
      <c r="AM7" s="36">
        <f t="shared" si="26"/>
        <v>254545.9</v>
      </c>
      <c r="AN7" s="36">
        <f t="shared" si="26"/>
        <v>261542.1</v>
      </c>
      <c r="AO7" s="41">
        <f t="shared" si="26"/>
        <v>255580.2</v>
      </c>
      <c r="AP7" s="41">
        <f t="shared" si="26"/>
        <v>257060.7</v>
      </c>
      <c r="AQ7" s="41">
        <f t="shared" si="26"/>
        <v>255082.86</v>
      </c>
      <c r="AR7" s="41">
        <f t="shared" si="26"/>
        <v>255443.6</v>
      </c>
      <c r="AS7" s="41">
        <f t="shared" si="26"/>
        <v>253959.2</v>
      </c>
      <c r="AT7" s="41">
        <f t="shared" si="26"/>
        <v>261718.59999999998</v>
      </c>
      <c r="AU7" s="41">
        <f t="shared" si="26"/>
        <v>265653.60000000003</v>
      </c>
      <c r="AV7" s="256">
        <f t="shared" si="26"/>
        <v>280763.8</v>
      </c>
      <c r="AW7" s="41">
        <f t="shared" si="26"/>
        <v>268239.7</v>
      </c>
      <c r="AX7" s="41">
        <f t="shared" si="26"/>
        <v>272404.3</v>
      </c>
      <c r="AY7" s="41">
        <f t="shared" si="26"/>
        <v>268935.1</v>
      </c>
      <c r="AZ7" s="41">
        <f t="shared" si="26"/>
        <v>265250.9</v>
      </c>
      <c r="BA7" s="42">
        <f t="shared" si="26"/>
        <v>266229.1</v>
      </c>
      <c r="BB7" s="42">
        <f t="shared" si="26"/>
        <v>273834.7</v>
      </c>
      <c r="BC7" s="42">
        <f t="shared" si="26"/>
        <v>268640.8</v>
      </c>
      <c r="BD7" s="42">
        <f t="shared" si="26"/>
        <v>270339.9</v>
      </c>
      <c r="BE7" s="42">
        <f t="shared" si="26"/>
        <v>272131.4</v>
      </c>
      <c r="BF7" s="42">
        <f t="shared" si="26"/>
        <v>277077.8</v>
      </c>
      <c r="BG7" s="42">
        <f t="shared" si="26"/>
        <v>281841</v>
      </c>
      <c r="BH7" s="256">
        <f t="shared" si="26"/>
        <v>299142.6</v>
      </c>
      <c r="BI7" s="41">
        <f aca="true" t="shared" si="27" ref="BI7:BN7">BI8+BI9</f>
        <v>290246.1</v>
      </c>
      <c r="BJ7" s="41">
        <f t="shared" si="27"/>
        <v>294597.57</v>
      </c>
      <c r="BK7" s="41">
        <f t="shared" si="27"/>
        <v>293582.39999999997</v>
      </c>
      <c r="BL7" s="41">
        <f t="shared" si="27"/>
        <v>297926.2</v>
      </c>
      <c r="BM7" s="40">
        <f t="shared" si="27"/>
        <v>306275.5</v>
      </c>
      <c r="BN7" s="191">
        <f t="shared" si="27"/>
        <v>302421.1</v>
      </c>
      <c r="BO7" s="198">
        <f aca="true" t="shared" si="28" ref="BO7:BT7">BO8+BO9</f>
        <v>300994.80000000005</v>
      </c>
      <c r="BP7" s="41">
        <f t="shared" si="28"/>
        <v>296362.8</v>
      </c>
      <c r="BQ7" s="41">
        <f t="shared" si="28"/>
        <v>298090.60000000003</v>
      </c>
      <c r="BR7" s="41">
        <f t="shared" si="28"/>
        <v>303627.5</v>
      </c>
      <c r="BS7" s="41">
        <f t="shared" si="28"/>
        <v>309343.8</v>
      </c>
      <c r="BT7" s="240">
        <f t="shared" si="28"/>
        <v>323039.3</v>
      </c>
      <c r="BU7" s="41">
        <f aca="true" t="shared" si="29" ref="BU7:BZ7">BU8+BU9</f>
        <v>317877.30000000005</v>
      </c>
      <c r="BV7" s="41">
        <f t="shared" si="29"/>
        <v>322256.67000000004</v>
      </c>
      <c r="BW7" s="41">
        <f t="shared" si="29"/>
        <v>326781</v>
      </c>
      <c r="BX7" s="41">
        <f t="shared" si="29"/>
        <v>326123.8</v>
      </c>
      <c r="BY7" s="41">
        <f t="shared" si="29"/>
        <v>337023.2</v>
      </c>
      <c r="BZ7" s="41">
        <f t="shared" si="29"/>
        <v>336593.39999999997</v>
      </c>
      <c r="CA7" s="41">
        <f aca="true" t="shared" si="30" ref="CA7:CF7">CA8+CA9</f>
        <v>330993.89999999997</v>
      </c>
      <c r="CB7" s="41">
        <f t="shared" si="30"/>
        <v>333090.5</v>
      </c>
      <c r="CC7" s="41">
        <f t="shared" si="30"/>
        <v>328871.2</v>
      </c>
      <c r="CD7" s="41">
        <f t="shared" si="30"/>
        <v>337195.7</v>
      </c>
      <c r="CE7" s="41">
        <f t="shared" si="30"/>
        <v>342564.6</v>
      </c>
      <c r="CF7" s="240">
        <f t="shared" si="30"/>
        <v>353015.9</v>
      </c>
      <c r="CG7" s="240">
        <f aca="true" t="shared" si="31" ref="CG7:CM7">CG8+CG9</f>
        <v>337601.7</v>
      </c>
      <c r="CH7" s="41">
        <f t="shared" si="31"/>
        <v>357455</v>
      </c>
      <c r="CI7" s="41">
        <f t="shared" si="31"/>
        <v>350874.7</v>
      </c>
      <c r="CJ7" s="41">
        <f t="shared" si="31"/>
        <v>352000.15</v>
      </c>
      <c r="CK7" s="41">
        <f t="shared" si="31"/>
        <v>353484.1</v>
      </c>
      <c r="CL7" s="41">
        <f t="shared" si="31"/>
        <v>357744.39999999997</v>
      </c>
      <c r="CM7" s="41">
        <f t="shared" si="31"/>
        <v>355123</v>
      </c>
      <c r="CN7" s="41">
        <v>357931.2</v>
      </c>
      <c r="CO7" s="285">
        <f>CO8+CO9</f>
        <v>360343.1</v>
      </c>
      <c r="CP7" s="41">
        <f>CP8+CP9</f>
        <v>373820.7</v>
      </c>
      <c r="CQ7" s="41">
        <f>CQ8+CQ9</f>
        <v>383834.6</v>
      </c>
      <c r="CR7" s="41">
        <v>384965</v>
      </c>
      <c r="CS7" s="41">
        <f>CS8+CS9</f>
        <v>377126.1</v>
      </c>
      <c r="CT7" s="41">
        <v>380164.1</v>
      </c>
      <c r="CU7" s="41">
        <f>CU8+CU9</f>
        <v>383574</v>
      </c>
      <c r="CV7" s="41">
        <f>CV8+CV9</f>
        <v>394737.4</v>
      </c>
      <c r="CW7" s="41">
        <f>CW8+CW9</f>
        <v>395296.1</v>
      </c>
      <c r="CX7" s="41">
        <f>CX8+CX9</f>
        <v>391572.8</v>
      </c>
    </row>
    <row r="8" spans="1:102" ht="15">
      <c r="A8" s="43" t="s">
        <v>6</v>
      </c>
      <c r="B8" s="44">
        <f>7370.4+5320.8*B59</f>
        <v>20203.10544</v>
      </c>
      <c r="C8" s="45">
        <f>9122.8+6232.5*C59</f>
        <v>26499.63325</v>
      </c>
      <c r="D8" s="46">
        <f>10797.6+6638.3*D59</f>
        <v>33977.87977</v>
      </c>
      <c r="E8" s="47">
        <f>10714.3+7399.4*E59</f>
        <v>41138.412979999994</v>
      </c>
      <c r="F8" s="48">
        <f>12166.1+7684*F59</f>
        <v>42643.1492</v>
      </c>
      <c r="G8" s="49">
        <f>13877.9+7972.1*G59</f>
        <v>43192.10891</v>
      </c>
      <c r="H8" s="48">
        <f>24243.7+7677*H59</f>
        <v>50205.0109</v>
      </c>
      <c r="I8" s="48">
        <f>39918.3+27222.67</f>
        <v>67140.97</v>
      </c>
      <c r="J8" s="49">
        <f>59429+32513</f>
        <v>91942</v>
      </c>
      <c r="K8" s="47">
        <f>80290.2+46281.5</f>
        <v>126571.7</v>
      </c>
      <c r="L8" s="50">
        <v>167632.5</v>
      </c>
      <c r="M8" s="51">
        <v>164097.3</v>
      </c>
      <c r="N8" s="51">
        <v>166403.0065</v>
      </c>
      <c r="O8" s="50">
        <v>173059.185227</v>
      </c>
      <c r="P8" s="50">
        <v>169368.79232</v>
      </c>
      <c r="Q8" s="52">
        <v>174565.0508</v>
      </c>
      <c r="R8" s="53">
        <v>191348.63806</v>
      </c>
      <c r="S8" s="54">
        <v>182368.50723</v>
      </c>
      <c r="T8" s="50">
        <v>185380.22372</v>
      </c>
      <c r="U8" s="50">
        <v>189501.49607</v>
      </c>
      <c r="V8" s="52">
        <v>188684.53431</v>
      </c>
      <c r="W8" s="55">
        <v>191327.56624</v>
      </c>
      <c r="X8" s="51">
        <v>199284.6</v>
      </c>
      <c r="Y8" s="272">
        <v>213731</v>
      </c>
      <c r="Z8" s="55">
        <v>213807.4</v>
      </c>
      <c r="AA8" s="50">
        <v>222833.7</v>
      </c>
      <c r="AB8" s="50">
        <v>225078.03</v>
      </c>
      <c r="AC8" s="50">
        <v>225762.84</v>
      </c>
      <c r="AD8" s="50">
        <v>225866.7</v>
      </c>
      <c r="AE8" s="56">
        <v>224082.8</v>
      </c>
      <c r="AF8" s="57">
        <v>224881.8</v>
      </c>
      <c r="AG8" s="58">
        <v>232523.3</v>
      </c>
      <c r="AH8" s="59">
        <v>237446.7</v>
      </c>
      <c r="AI8" s="60">
        <v>232649</v>
      </c>
      <c r="AJ8" s="61">
        <v>237972</v>
      </c>
      <c r="AK8" s="59">
        <v>241741.9</v>
      </c>
      <c r="AL8" s="59">
        <v>245144</v>
      </c>
      <c r="AM8" s="59">
        <v>240392</v>
      </c>
      <c r="AN8" s="59">
        <v>247280</v>
      </c>
      <c r="AO8" s="62">
        <v>241319.6</v>
      </c>
      <c r="AP8" s="62">
        <v>242841.6</v>
      </c>
      <c r="AQ8" s="62">
        <v>240617.93</v>
      </c>
      <c r="AR8" s="62">
        <v>240858.5</v>
      </c>
      <c r="AS8" s="62">
        <v>239331.5</v>
      </c>
      <c r="AT8" s="62">
        <v>246834.3</v>
      </c>
      <c r="AU8" s="62">
        <v>250623.2</v>
      </c>
      <c r="AV8" s="257">
        <v>265448.5</v>
      </c>
      <c r="AW8" s="62">
        <v>253083.55</v>
      </c>
      <c r="AX8" s="62">
        <v>257157.2</v>
      </c>
      <c r="AY8" s="62">
        <v>255013.9</v>
      </c>
      <c r="AZ8" s="62">
        <v>251129.6</v>
      </c>
      <c r="BA8" s="63">
        <v>251868</v>
      </c>
      <c r="BB8" s="63">
        <v>259293.1</v>
      </c>
      <c r="BC8" s="63">
        <v>254116</v>
      </c>
      <c r="BD8" s="63">
        <v>255540.2</v>
      </c>
      <c r="BE8" s="63">
        <v>257186.7</v>
      </c>
      <c r="BF8" s="63">
        <v>261807.7</v>
      </c>
      <c r="BG8" s="63">
        <v>266338.1</v>
      </c>
      <c r="BH8" s="257">
        <v>283579.5</v>
      </c>
      <c r="BI8" s="62">
        <v>274659.1</v>
      </c>
      <c r="BJ8" s="62">
        <v>279003.93</v>
      </c>
      <c r="BK8" s="62">
        <v>277755.1</v>
      </c>
      <c r="BL8" s="62">
        <v>281688.2</v>
      </c>
      <c r="BM8" s="60">
        <v>289635.5</v>
      </c>
      <c r="BN8" s="192">
        <v>285648.1</v>
      </c>
      <c r="BO8" s="62">
        <v>284266.4</v>
      </c>
      <c r="BP8" s="62">
        <f>279639.3</f>
        <v>279639.3</v>
      </c>
      <c r="BQ8" s="62">
        <v>281471.7</v>
      </c>
      <c r="BR8" s="62">
        <v>286722.6</v>
      </c>
      <c r="BS8" s="62">
        <v>292275.2</v>
      </c>
      <c r="BT8" s="241">
        <v>306440.5</v>
      </c>
      <c r="BU8" s="62">
        <v>301123.4</v>
      </c>
      <c r="BV8" s="62">
        <v>305486.53</v>
      </c>
      <c r="BW8" s="62">
        <v>309938</v>
      </c>
      <c r="BX8" s="62">
        <v>309207</v>
      </c>
      <c r="BY8" s="62">
        <v>319527.9</v>
      </c>
      <c r="BZ8" s="62">
        <v>318716.6</v>
      </c>
      <c r="CA8" s="62">
        <v>312972.6</v>
      </c>
      <c r="CB8" s="62">
        <v>314993</v>
      </c>
      <c r="CC8" s="62">
        <v>310690.3</v>
      </c>
      <c r="CD8" s="62">
        <v>319006.5</v>
      </c>
      <c r="CE8" s="62">
        <v>324294.5</v>
      </c>
      <c r="CF8" s="241">
        <v>335543.2</v>
      </c>
      <c r="CG8" s="241">
        <v>320048.3</v>
      </c>
      <c r="CH8" s="62">
        <v>339927</v>
      </c>
      <c r="CI8" s="62">
        <v>333303.8</v>
      </c>
      <c r="CJ8" s="62">
        <v>334313.25</v>
      </c>
      <c r="CK8" s="62">
        <v>335634.1</v>
      </c>
      <c r="CL8" s="62">
        <v>339865.8</v>
      </c>
      <c r="CM8" s="62">
        <v>337262.9</v>
      </c>
      <c r="CN8" s="62">
        <v>339995.4</v>
      </c>
      <c r="CO8" s="286">
        <v>342339.1</v>
      </c>
      <c r="CP8" s="62">
        <v>355775.3</v>
      </c>
      <c r="CQ8" s="62">
        <v>365808.8</v>
      </c>
      <c r="CR8" s="62">
        <v>366933.4</v>
      </c>
      <c r="CS8" s="62">
        <v>359017</v>
      </c>
      <c r="CT8" s="62">
        <v>362043.8</v>
      </c>
      <c r="CU8" s="62">
        <v>365401</v>
      </c>
      <c r="CV8" s="62">
        <v>376560.4</v>
      </c>
      <c r="CW8" s="62">
        <v>377100.3</v>
      </c>
      <c r="CX8" s="62">
        <v>373375.8</v>
      </c>
    </row>
    <row r="9" spans="1:102" ht="15">
      <c r="A9" s="43" t="s">
        <v>7</v>
      </c>
      <c r="B9" s="44">
        <f>82.5+2073.1*B59</f>
        <v>5082.40258</v>
      </c>
      <c r="C9" s="45">
        <f>62.6+2587.5*C59</f>
        <v>7276.80875</v>
      </c>
      <c r="D9" s="46">
        <f>963.6+2535.1*D59</f>
        <v>9815.91569</v>
      </c>
      <c r="E9" s="47">
        <f>795.8+2238.1*E59</f>
        <v>9998.195769999998</v>
      </c>
      <c r="F9" s="48">
        <f>2245.3+2586.5*F59</f>
        <v>12504.13495</v>
      </c>
      <c r="G9" s="49">
        <f>2250+2975.1*G59</f>
        <v>13189.74021</v>
      </c>
      <c r="H9" s="48">
        <f>1583.6+2389.3*H59</f>
        <v>9663.49581</v>
      </c>
      <c r="I9" s="48">
        <f>1956.1+7052.56</f>
        <v>9008.66</v>
      </c>
      <c r="J9" s="49">
        <f>2094.1+6520.3</f>
        <v>8614.4</v>
      </c>
      <c r="K9" s="47">
        <f>4059+5863.1</f>
        <v>9922.1</v>
      </c>
      <c r="L9" s="50">
        <v>14877.8</v>
      </c>
      <c r="M9" s="51">
        <v>14625.7</v>
      </c>
      <c r="N9" s="51">
        <v>15091.61</v>
      </c>
      <c r="O9" s="50">
        <v>14417.315433</v>
      </c>
      <c r="P9" s="50">
        <v>14638.79264</v>
      </c>
      <c r="Q9" s="52">
        <v>14556.42528</v>
      </c>
      <c r="R9" s="53">
        <v>11039.40656</v>
      </c>
      <c r="S9" s="54">
        <v>10586.12434</v>
      </c>
      <c r="T9" s="50">
        <v>10594.90516</v>
      </c>
      <c r="U9" s="50">
        <v>11132.99304</v>
      </c>
      <c r="V9" s="52">
        <v>10896.27502</v>
      </c>
      <c r="W9" s="55">
        <v>11128.06385</v>
      </c>
      <c r="X9" s="51">
        <v>11104</v>
      </c>
      <c r="Y9" s="272">
        <v>13110.9</v>
      </c>
      <c r="Z9" s="55">
        <v>13014.9</v>
      </c>
      <c r="AA9" s="50">
        <v>13108.4</v>
      </c>
      <c r="AB9" s="50">
        <v>13374.64</v>
      </c>
      <c r="AC9" s="50">
        <v>13223.74</v>
      </c>
      <c r="AD9" s="50">
        <v>13850.1</v>
      </c>
      <c r="AE9" s="64">
        <v>13798.9</v>
      </c>
      <c r="AF9" s="50">
        <v>14013.7</v>
      </c>
      <c r="AG9" s="65">
        <v>14022.6</v>
      </c>
      <c r="AH9" s="51">
        <v>14012.6</v>
      </c>
      <c r="AI9" s="55">
        <v>14090.2</v>
      </c>
      <c r="AJ9" s="66">
        <v>14207.8</v>
      </c>
      <c r="AK9" s="51">
        <v>14245.3</v>
      </c>
      <c r="AL9" s="51">
        <v>14313.7</v>
      </c>
      <c r="AM9" s="51">
        <v>14153.9</v>
      </c>
      <c r="AN9" s="51">
        <v>14262.1</v>
      </c>
      <c r="AO9" s="67">
        <v>14260.6</v>
      </c>
      <c r="AP9" s="67">
        <v>14219.1</v>
      </c>
      <c r="AQ9" s="67">
        <v>14464.93</v>
      </c>
      <c r="AR9" s="67">
        <v>14585.1</v>
      </c>
      <c r="AS9" s="67">
        <v>14627.7</v>
      </c>
      <c r="AT9" s="67">
        <v>14884.3</v>
      </c>
      <c r="AU9" s="67">
        <v>15030.4</v>
      </c>
      <c r="AV9" s="258">
        <v>15315.3</v>
      </c>
      <c r="AW9" s="67">
        <v>15156.15</v>
      </c>
      <c r="AX9" s="67">
        <v>15247.1</v>
      </c>
      <c r="AY9" s="67">
        <v>13921.2</v>
      </c>
      <c r="AZ9" s="67">
        <v>14121.3</v>
      </c>
      <c r="BA9" s="68">
        <v>14361.1</v>
      </c>
      <c r="BB9" s="68">
        <v>14541.6</v>
      </c>
      <c r="BC9" s="68">
        <v>14524.8</v>
      </c>
      <c r="BD9" s="68">
        <v>14799.7</v>
      </c>
      <c r="BE9" s="68">
        <v>14944.7</v>
      </c>
      <c r="BF9" s="68">
        <v>15270.1</v>
      </c>
      <c r="BG9" s="68">
        <v>15502.9</v>
      </c>
      <c r="BH9" s="258">
        <v>15563.1</v>
      </c>
      <c r="BI9" s="67">
        <v>15587</v>
      </c>
      <c r="BJ9" s="67">
        <v>15593.64</v>
      </c>
      <c r="BK9" s="67">
        <v>15827.3</v>
      </c>
      <c r="BL9" s="67">
        <v>16238</v>
      </c>
      <c r="BM9" s="55">
        <v>16640</v>
      </c>
      <c r="BN9" s="193">
        <v>16773</v>
      </c>
      <c r="BO9" s="67">
        <v>16728.4</v>
      </c>
      <c r="BP9" s="67">
        <v>16723.5</v>
      </c>
      <c r="BQ9" s="67">
        <v>16618.9</v>
      </c>
      <c r="BR9" s="67">
        <v>16904.9</v>
      </c>
      <c r="BS9" s="67">
        <v>17068.6</v>
      </c>
      <c r="BT9" s="242">
        <v>16598.8</v>
      </c>
      <c r="BU9" s="67">
        <v>16753.9</v>
      </c>
      <c r="BV9" s="67">
        <v>16770.14</v>
      </c>
      <c r="BW9" s="67">
        <v>16843</v>
      </c>
      <c r="BX9" s="67">
        <v>16916.8</v>
      </c>
      <c r="BY9" s="67">
        <v>17495.3</v>
      </c>
      <c r="BZ9" s="67">
        <v>17876.8</v>
      </c>
      <c r="CA9" s="67">
        <v>18021.3</v>
      </c>
      <c r="CB9" s="67">
        <v>18097.5</v>
      </c>
      <c r="CC9" s="67">
        <v>18180.9</v>
      </c>
      <c r="CD9" s="67">
        <v>18189.2</v>
      </c>
      <c r="CE9" s="67">
        <v>18270.1</v>
      </c>
      <c r="CF9" s="242">
        <v>17472.7</v>
      </c>
      <c r="CG9" s="242">
        <v>17553.4</v>
      </c>
      <c r="CH9" s="67">
        <v>17528</v>
      </c>
      <c r="CI9" s="67">
        <v>17570.9</v>
      </c>
      <c r="CJ9" s="67">
        <v>17686.9</v>
      </c>
      <c r="CK9" s="67">
        <v>17850</v>
      </c>
      <c r="CL9" s="67">
        <v>17878.6</v>
      </c>
      <c r="CM9" s="67">
        <v>17860.1</v>
      </c>
      <c r="CN9" s="67">
        <v>17935.8</v>
      </c>
      <c r="CO9" s="287">
        <v>18004</v>
      </c>
      <c r="CP9" s="67">
        <v>18045.4</v>
      </c>
      <c r="CQ9" s="67">
        <v>18025.8</v>
      </c>
      <c r="CR9" s="67">
        <v>18031.6</v>
      </c>
      <c r="CS9" s="67">
        <v>18109.1</v>
      </c>
      <c r="CT9" s="67">
        <v>18120.3</v>
      </c>
      <c r="CU9" s="67">
        <v>18173</v>
      </c>
      <c r="CV9" s="67">
        <v>18177</v>
      </c>
      <c r="CW9" s="67">
        <v>18195.8</v>
      </c>
      <c r="CX9" s="67">
        <v>18197</v>
      </c>
    </row>
    <row r="10" spans="1:102" ht="15">
      <c r="A10" s="34" t="s">
        <v>8</v>
      </c>
      <c r="B10" s="69">
        <f aca="true" t="shared" si="32" ref="B10:X10">SUM(B11:B13)</f>
        <v>25285.5</v>
      </c>
      <c r="C10" s="70">
        <f t="shared" si="32"/>
        <v>33776.4</v>
      </c>
      <c r="D10" s="71">
        <f t="shared" si="32"/>
        <v>43793.8</v>
      </c>
      <c r="E10" s="70">
        <f t="shared" si="32"/>
        <v>51136.6</v>
      </c>
      <c r="F10" s="70">
        <f t="shared" si="32"/>
        <v>55147.299999999996</v>
      </c>
      <c r="G10" s="70">
        <f t="shared" si="32"/>
        <v>56381.8</v>
      </c>
      <c r="H10" s="70">
        <f t="shared" si="32"/>
        <v>59868.5</v>
      </c>
      <c r="I10" s="72">
        <f t="shared" si="32"/>
        <v>76149.6</v>
      </c>
      <c r="J10" s="70">
        <f t="shared" si="32"/>
        <v>100556.4</v>
      </c>
      <c r="K10" s="71">
        <f t="shared" si="32"/>
        <v>136493.8</v>
      </c>
      <c r="L10" s="72">
        <f t="shared" si="32"/>
        <v>182510.3</v>
      </c>
      <c r="M10" s="70">
        <f t="shared" si="32"/>
        <v>178723.03448</v>
      </c>
      <c r="N10" s="70">
        <f t="shared" si="32"/>
        <v>181494.6165</v>
      </c>
      <c r="O10" s="72">
        <f t="shared" si="32"/>
        <v>187476.541801</v>
      </c>
      <c r="P10" s="70">
        <f t="shared" si="32"/>
        <v>184007.58496</v>
      </c>
      <c r="Q10" s="70">
        <f t="shared" si="32"/>
        <v>189121.47608</v>
      </c>
      <c r="R10" s="72">
        <f t="shared" si="32"/>
        <v>202388.04462</v>
      </c>
      <c r="S10" s="72">
        <f t="shared" si="32"/>
        <v>192954.63157</v>
      </c>
      <c r="T10" s="72">
        <f t="shared" si="32"/>
        <v>195975.12888</v>
      </c>
      <c r="U10" s="72">
        <f t="shared" si="32"/>
        <v>200634.5</v>
      </c>
      <c r="V10" s="70">
        <f t="shared" si="32"/>
        <v>199580.80933</v>
      </c>
      <c r="W10" s="72">
        <f t="shared" si="32"/>
        <v>201455.63009</v>
      </c>
      <c r="X10" s="70">
        <f t="shared" si="32"/>
        <v>210388.6</v>
      </c>
      <c r="Y10" s="273">
        <v>226841.9</v>
      </c>
      <c r="Z10" s="74">
        <f aca="true" t="shared" si="33" ref="Z10:BI10">SUM(Z11:Z13)</f>
        <v>226822.3</v>
      </c>
      <c r="AA10" s="72">
        <f t="shared" si="33"/>
        <v>235942.1</v>
      </c>
      <c r="AB10" s="72">
        <f t="shared" si="33"/>
        <v>238452.68</v>
      </c>
      <c r="AC10" s="72">
        <f t="shared" si="33"/>
        <v>238986.6</v>
      </c>
      <c r="AD10" s="72">
        <f t="shared" si="33"/>
        <v>239716.8</v>
      </c>
      <c r="AE10" s="73">
        <f t="shared" si="33"/>
        <v>237881.7</v>
      </c>
      <c r="AF10" s="72">
        <f t="shared" si="33"/>
        <v>238895.48</v>
      </c>
      <c r="AG10" s="71">
        <f t="shared" si="33"/>
        <v>246545.90000000002</v>
      </c>
      <c r="AH10" s="70">
        <f t="shared" si="33"/>
        <v>251459.3</v>
      </c>
      <c r="AI10" s="74">
        <f t="shared" si="33"/>
        <v>246739.2</v>
      </c>
      <c r="AJ10" s="69">
        <f t="shared" si="33"/>
        <v>252179.75</v>
      </c>
      <c r="AK10" s="70">
        <f t="shared" si="33"/>
        <v>255987.19999999998</v>
      </c>
      <c r="AL10" s="70">
        <f t="shared" si="33"/>
        <v>259457.7</v>
      </c>
      <c r="AM10" s="70">
        <f t="shared" si="33"/>
        <v>254545.9</v>
      </c>
      <c r="AN10" s="70">
        <f t="shared" si="33"/>
        <v>261542.09999999998</v>
      </c>
      <c r="AO10" s="75">
        <f t="shared" si="33"/>
        <v>255580.18000000002</v>
      </c>
      <c r="AP10" s="75">
        <f t="shared" si="33"/>
        <v>257060.7</v>
      </c>
      <c r="AQ10" s="75">
        <f t="shared" si="33"/>
        <v>255082.9</v>
      </c>
      <c r="AR10" s="75">
        <f t="shared" si="33"/>
        <v>255443.58</v>
      </c>
      <c r="AS10" s="75">
        <f t="shared" si="33"/>
        <v>253959.2</v>
      </c>
      <c r="AT10" s="75">
        <f t="shared" si="33"/>
        <v>261718.6</v>
      </c>
      <c r="AU10" s="75">
        <f t="shared" si="33"/>
        <v>265653.6</v>
      </c>
      <c r="AV10" s="259">
        <f t="shared" si="33"/>
        <v>280763.8</v>
      </c>
      <c r="AW10" s="75">
        <f t="shared" si="33"/>
        <v>268239.7</v>
      </c>
      <c r="AX10" s="75">
        <f t="shared" si="33"/>
        <v>272404.3</v>
      </c>
      <c r="AY10" s="75">
        <f t="shared" si="33"/>
        <v>268935.1</v>
      </c>
      <c r="AZ10" s="75">
        <f t="shared" si="33"/>
        <v>265250.9</v>
      </c>
      <c r="BA10" s="76">
        <f t="shared" si="33"/>
        <v>266229.1</v>
      </c>
      <c r="BB10" s="76">
        <f t="shared" si="33"/>
        <v>273834.66</v>
      </c>
      <c r="BC10" s="76">
        <f t="shared" si="33"/>
        <v>268640.80000000005</v>
      </c>
      <c r="BD10" s="76">
        <f t="shared" si="33"/>
        <v>270339.9</v>
      </c>
      <c r="BE10" s="76">
        <f t="shared" si="33"/>
        <v>272131.4</v>
      </c>
      <c r="BF10" s="76">
        <f t="shared" si="33"/>
        <v>277077.8</v>
      </c>
      <c r="BG10" s="76">
        <f t="shared" si="33"/>
        <v>281841</v>
      </c>
      <c r="BH10" s="259">
        <f t="shared" si="33"/>
        <v>299142.60000000003</v>
      </c>
      <c r="BI10" s="75">
        <f t="shared" si="33"/>
        <v>290246.1</v>
      </c>
      <c r="BJ10" s="75">
        <f aca="true" t="shared" si="34" ref="BJ10:BO10">SUM(BJ11:BJ13)</f>
        <v>294597.60000000003</v>
      </c>
      <c r="BK10" s="75">
        <f t="shared" si="34"/>
        <v>293582.4</v>
      </c>
      <c r="BL10" s="75">
        <f t="shared" si="34"/>
        <v>297926.2</v>
      </c>
      <c r="BM10" s="74">
        <f t="shared" si="34"/>
        <v>306275.5</v>
      </c>
      <c r="BN10" s="194">
        <f t="shared" si="34"/>
        <v>302421.1</v>
      </c>
      <c r="BO10" s="75">
        <f t="shared" si="34"/>
        <v>300994.8</v>
      </c>
      <c r="BP10" s="75">
        <f aca="true" t="shared" si="35" ref="BP10:BV10">SUM(BP11:BP13)</f>
        <v>296362.8</v>
      </c>
      <c r="BQ10" s="75">
        <f t="shared" si="35"/>
        <v>298090.6</v>
      </c>
      <c r="BR10" s="75">
        <f t="shared" si="35"/>
        <v>303627.5</v>
      </c>
      <c r="BS10" s="75">
        <f t="shared" si="35"/>
        <v>309343.8</v>
      </c>
      <c r="BT10" s="243">
        <f t="shared" si="35"/>
        <v>323039.3</v>
      </c>
      <c r="BU10" s="75">
        <f t="shared" si="35"/>
        <v>317877.3</v>
      </c>
      <c r="BV10" s="75">
        <f t="shared" si="35"/>
        <v>322256.7</v>
      </c>
      <c r="BW10" s="75">
        <f aca="true" t="shared" si="36" ref="BW10:CB10">SUM(BW11:BW13)</f>
        <v>326781</v>
      </c>
      <c r="BX10" s="75">
        <f t="shared" si="36"/>
        <v>326123.8</v>
      </c>
      <c r="BY10" s="75">
        <f t="shared" si="36"/>
        <v>337023.2</v>
      </c>
      <c r="BZ10" s="75">
        <f t="shared" si="36"/>
        <v>336593.4</v>
      </c>
      <c r="CA10" s="75">
        <f t="shared" si="36"/>
        <v>330994</v>
      </c>
      <c r="CB10" s="75">
        <f t="shared" si="36"/>
        <v>333090.5</v>
      </c>
      <c r="CC10" s="75">
        <f aca="true" t="shared" si="37" ref="CC10:CH10">SUM(CC11:CC13)</f>
        <v>328871.19999999995</v>
      </c>
      <c r="CD10" s="75">
        <f t="shared" si="37"/>
        <v>337195.7</v>
      </c>
      <c r="CE10" s="75">
        <f t="shared" si="37"/>
        <v>342564.6</v>
      </c>
      <c r="CF10" s="243">
        <f t="shared" si="37"/>
        <v>353015.9</v>
      </c>
      <c r="CG10" s="243">
        <f t="shared" si="37"/>
        <v>337601.7</v>
      </c>
      <c r="CH10" s="75">
        <f t="shared" si="37"/>
        <v>357455</v>
      </c>
      <c r="CI10" s="75">
        <f>SUM(CI11:CI13)</f>
        <v>350874.7</v>
      </c>
      <c r="CJ10" s="75">
        <f>SUM(CJ11:CJ13)</f>
        <v>352000.14999999997</v>
      </c>
      <c r="CK10" s="75">
        <f>SUM(CK11:CK13)</f>
        <v>353484.1</v>
      </c>
      <c r="CL10" s="75">
        <f>SUM(CL11:CL13)</f>
        <v>357744.38</v>
      </c>
      <c r="CM10" s="75">
        <f>SUM(CM11:CM13)</f>
        <v>355123</v>
      </c>
      <c r="CN10" s="75">
        <v>357931.2</v>
      </c>
      <c r="CO10" s="288">
        <f>SUM(CO11:CO13)</f>
        <v>360343.14</v>
      </c>
      <c r="CP10" s="75">
        <f>SUM(CP11:CP13)</f>
        <v>373820.7</v>
      </c>
      <c r="CQ10" s="75">
        <f>SUM(CQ11:CQ13)</f>
        <v>383834.6</v>
      </c>
      <c r="CR10" s="75">
        <v>384965</v>
      </c>
      <c r="CS10" s="75">
        <f>SUM(CS11:CS13)</f>
        <v>377126.10000000003</v>
      </c>
      <c r="CT10" s="75">
        <v>380164.1</v>
      </c>
      <c r="CU10" s="75">
        <f>SUM(CU11:CU13)</f>
        <v>383574</v>
      </c>
      <c r="CV10" s="75">
        <f>SUM(CV11:CV13)</f>
        <v>394737.4</v>
      </c>
      <c r="CW10" s="75">
        <f>SUM(CW11:CW13)</f>
        <v>395296.1</v>
      </c>
      <c r="CX10" s="75">
        <f>SUM(CX11:CX13)</f>
        <v>391572.8</v>
      </c>
    </row>
    <row r="11" spans="1:102" ht="15">
      <c r="A11" s="43" t="s">
        <v>9</v>
      </c>
      <c r="B11" s="44">
        <v>8783.5</v>
      </c>
      <c r="C11" s="45">
        <v>11705.8</v>
      </c>
      <c r="D11" s="46">
        <v>14921.6</v>
      </c>
      <c r="E11" s="47">
        <v>17372.3</v>
      </c>
      <c r="F11" s="48">
        <v>16851.6</v>
      </c>
      <c r="G11" s="49">
        <v>17779.9</v>
      </c>
      <c r="H11" s="48">
        <v>15774.3</v>
      </c>
      <c r="I11" s="48">
        <v>16207.6</v>
      </c>
      <c r="J11" s="49">
        <v>20533.5</v>
      </c>
      <c r="K11" s="47">
        <v>34634.1</v>
      </c>
      <c r="L11" s="50">
        <v>52719.3</v>
      </c>
      <c r="M11" s="51">
        <v>52058.7015</v>
      </c>
      <c r="N11" s="51">
        <v>51342.915</v>
      </c>
      <c r="O11" s="50">
        <v>54745.91729</v>
      </c>
      <c r="P11" s="50">
        <v>53653.32896</v>
      </c>
      <c r="Q11" s="52">
        <v>54500.46456</v>
      </c>
      <c r="R11" s="53">
        <v>57926.7221</v>
      </c>
      <c r="S11" s="54">
        <v>58241.36856</v>
      </c>
      <c r="T11" s="50">
        <v>57800.84184</v>
      </c>
      <c r="U11" s="50">
        <v>60285.8</v>
      </c>
      <c r="V11" s="52">
        <v>59739.77207</v>
      </c>
      <c r="W11" s="55">
        <v>60942.40908</v>
      </c>
      <c r="X11" s="51">
        <v>63551.4</v>
      </c>
      <c r="Y11" s="272">
        <v>65786.4</v>
      </c>
      <c r="Z11" s="55">
        <v>64322</v>
      </c>
      <c r="AA11" s="50">
        <v>64262.7</v>
      </c>
      <c r="AB11" s="50">
        <v>64413.6</v>
      </c>
      <c r="AC11" s="50">
        <v>62899.5</v>
      </c>
      <c r="AD11" s="50">
        <v>63986.9</v>
      </c>
      <c r="AE11" s="64">
        <v>62932.7</v>
      </c>
      <c r="AF11" s="50">
        <v>64054.4</v>
      </c>
      <c r="AG11" s="77">
        <v>63505.4</v>
      </c>
      <c r="AH11" s="51">
        <v>66173.2</v>
      </c>
      <c r="AI11" s="55">
        <v>65419.3</v>
      </c>
      <c r="AJ11" s="66">
        <v>65415.4</v>
      </c>
      <c r="AK11" s="51">
        <v>65667.4</v>
      </c>
      <c r="AL11" s="51">
        <v>64661</v>
      </c>
      <c r="AM11" s="51">
        <v>63261.7</v>
      </c>
      <c r="AN11" s="51">
        <v>62967.7</v>
      </c>
      <c r="AO11" s="67">
        <v>61648.14</v>
      </c>
      <c r="AP11" s="67">
        <v>62094.9</v>
      </c>
      <c r="AQ11" s="67">
        <v>62547.7</v>
      </c>
      <c r="AR11" s="67">
        <v>61600.34</v>
      </c>
      <c r="AS11" s="67">
        <v>60965.5</v>
      </c>
      <c r="AT11" s="67">
        <v>60861.5</v>
      </c>
      <c r="AU11" s="67">
        <v>60026.8</v>
      </c>
      <c r="AV11" s="258">
        <v>60926.1</v>
      </c>
      <c r="AW11" s="67">
        <v>53950.7</v>
      </c>
      <c r="AX11" s="67">
        <v>53033.5</v>
      </c>
      <c r="AY11" s="67">
        <v>51331</v>
      </c>
      <c r="AZ11" s="67">
        <v>50947</v>
      </c>
      <c r="BA11" s="68">
        <v>51077.3</v>
      </c>
      <c r="BB11" s="68">
        <v>54418.33</v>
      </c>
      <c r="BC11" s="68">
        <v>53967.3</v>
      </c>
      <c r="BD11" s="68">
        <v>53937.3</v>
      </c>
      <c r="BE11" s="68">
        <v>53478.3</v>
      </c>
      <c r="BF11" s="68">
        <v>53572.4</v>
      </c>
      <c r="BG11" s="68">
        <v>53627.7</v>
      </c>
      <c r="BH11" s="258">
        <v>55094.5</v>
      </c>
      <c r="BI11" s="67">
        <v>55098.5</v>
      </c>
      <c r="BJ11" s="67">
        <v>54216.8</v>
      </c>
      <c r="BK11" s="67">
        <v>53836.8</v>
      </c>
      <c r="BL11" s="67">
        <v>53665.2</v>
      </c>
      <c r="BM11" s="55">
        <v>53853.8</v>
      </c>
      <c r="BN11" s="193">
        <v>53893.9</v>
      </c>
      <c r="BO11" s="67">
        <v>53054.8</v>
      </c>
      <c r="BP11" s="67">
        <v>52637.7</v>
      </c>
      <c r="BQ11" s="67">
        <v>52378.2</v>
      </c>
      <c r="BR11" s="67">
        <v>52779.8</v>
      </c>
      <c r="BS11" s="67">
        <v>52635</v>
      </c>
      <c r="BT11" s="242">
        <v>52539.1</v>
      </c>
      <c r="BU11" s="67">
        <v>52013</v>
      </c>
      <c r="BV11" s="67">
        <v>51975.1</v>
      </c>
      <c r="BW11" s="67">
        <v>52171.1</v>
      </c>
      <c r="BX11" s="67">
        <v>51666</v>
      </c>
      <c r="BY11" s="67">
        <v>51779</v>
      </c>
      <c r="BZ11" s="67">
        <v>51205.4</v>
      </c>
      <c r="CA11" s="67">
        <v>51073.9</v>
      </c>
      <c r="CB11" s="67">
        <v>53375.8</v>
      </c>
      <c r="CC11" s="67">
        <v>48088.6</v>
      </c>
      <c r="CD11" s="67">
        <v>47866.7</v>
      </c>
      <c r="CE11" s="67">
        <v>48084.8</v>
      </c>
      <c r="CF11" s="242">
        <v>47801.5</v>
      </c>
      <c r="CG11" s="242">
        <v>47662.2</v>
      </c>
      <c r="CH11" s="67">
        <v>47547.2</v>
      </c>
      <c r="CI11" s="67">
        <v>41937.5</v>
      </c>
      <c r="CJ11" s="67">
        <v>41778.6</v>
      </c>
      <c r="CK11" s="67">
        <v>41627.4</v>
      </c>
      <c r="CL11" s="67">
        <v>41492.4</v>
      </c>
      <c r="CM11" s="67">
        <v>41012.6</v>
      </c>
      <c r="CN11" s="67">
        <v>40887.8</v>
      </c>
      <c r="CO11" s="287">
        <v>40043.8</v>
      </c>
      <c r="CP11" s="67">
        <v>39895.8</v>
      </c>
      <c r="CQ11" s="67">
        <v>39705.2</v>
      </c>
      <c r="CR11" s="67">
        <v>39764.8</v>
      </c>
      <c r="CS11" s="67">
        <v>40343.4</v>
      </c>
      <c r="CT11" s="67">
        <v>40149</v>
      </c>
      <c r="CU11" s="67">
        <v>40151.9</v>
      </c>
      <c r="CV11" s="67">
        <v>35155.5</v>
      </c>
      <c r="CW11" s="67">
        <v>34979.1</v>
      </c>
      <c r="CX11" s="67">
        <v>34698.9</v>
      </c>
    </row>
    <row r="12" spans="1:102" ht="15">
      <c r="A12" s="43" t="s">
        <v>10</v>
      </c>
      <c r="B12" s="44">
        <v>2314.4</v>
      </c>
      <c r="C12" s="45">
        <v>2745.2</v>
      </c>
      <c r="D12" s="46">
        <v>3078.8</v>
      </c>
      <c r="E12" s="47">
        <v>2566.5</v>
      </c>
      <c r="F12" s="48">
        <v>1968.5</v>
      </c>
      <c r="G12" s="49">
        <v>1209.4</v>
      </c>
      <c r="H12" s="48">
        <v>655.4</v>
      </c>
      <c r="I12" s="48">
        <v>374</v>
      </c>
      <c r="J12" s="49">
        <v>312.9</v>
      </c>
      <c r="K12" s="47">
        <v>272.4</v>
      </c>
      <c r="L12" s="50">
        <v>287.1</v>
      </c>
      <c r="M12" s="51">
        <v>285.0783</v>
      </c>
      <c r="N12" s="51">
        <v>279.4545</v>
      </c>
      <c r="O12" s="50">
        <v>267.00509</v>
      </c>
      <c r="P12" s="50">
        <v>261.57648</v>
      </c>
      <c r="Q12" s="52">
        <v>273.62112</v>
      </c>
      <c r="R12" s="53">
        <v>284.10811</v>
      </c>
      <c r="S12" s="54">
        <v>224.7359</v>
      </c>
      <c r="T12" s="50">
        <v>221.697</v>
      </c>
      <c r="U12" s="50">
        <v>231.6</v>
      </c>
      <c r="V12" s="52">
        <v>226.59332</v>
      </c>
      <c r="W12" s="55">
        <v>185.91153</v>
      </c>
      <c r="X12" s="51">
        <v>203.8</v>
      </c>
      <c r="Y12" s="272">
        <v>193.2</v>
      </c>
      <c r="Z12" s="55">
        <v>188</v>
      </c>
      <c r="AA12" s="50">
        <v>185.2</v>
      </c>
      <c r="AB12" s="50">
        <v>194.74</v>
      </c>
      <c r="AC12" s="50">
        <v>207.5</v>
      </c>
      <c r="AD12" s="50">
        <v>210.5</v>
      </c>
      <c r="AE12" s="64">
        <v>207</v>
      </c>
      <c r="AF12" s="50">
        <v>204.54</v>
      </c>
      <c r="AG12" s="77">
        <v>205.15</v>
      </c>
      <c r="AH12" s="51">
        <v>202.9</v>
      </c>
      <c r="AI12" s="55">
        <v>194.1</v>
      </c>
      <c r="AJ12" s="66">
        <v>195.05</v>
      </c>
      <c r="AK12" s="51">
        <v>197.9</v>
      </c>
      <c r="AL12" s="51">
        <v>193</v>
      </c>
      <c r="AM12" s="51">
        <v>190.7</v>
      </c>
      <c r="AN12" s="51">
        <v>190.5</v>
      </c>
      <c r="AO12" s="67">
        <v>186.9</v>
      </c>
      <c r="AP12" s="67">
        <v>185.6</v>
      </c>
      <c r="AQ12" s="67">
        <v>187.8</v>
      </c>
      <c r="AR12" s="67">
        <v>184</v>
      </c>
      <c r="AS12" s="67">
        <v>185.3</v>
      </c>
      <c r="AT12" s="67">
        <v>181.9</v>
      </c>
      <c r="AU12" s="67">
        <v>189.4</v>
      </c>
      <c r="AV12" s="258">
        <v>184.2</v>
      </c>
      <c r="AW12" s="67">
        <v>184.4</v>
      </c>
      <c r="AX12" s="67">
        <v>180.6</v>
      </c>
      <c r="AY12" s="67">
        <v>182.6</v>
      </c>
      <c r="AZ12" s="67">
        <v>180.8</v>
      </c>
      <c r="BA12" s="68">
        <v>178</v>
      </c>
      <c r="BB12" s="68">
        <v>178</v>
      </c>
      <c r="BC12" s="68">
        <v>175.8</v>
      </c>
      <c r="BD12" s="68">
        <v>172.9</v>
      </c>
      <c r="BE12" s="68">
        <v>172.7</v>
      </c>
      <c r="BF12" s="68">
        <v>170.7</v>
      </c>
      <c r="BG12" s="68">
        <v>169.8</v>
      </c>
      <c r="BH12" s="258">
        <v>171.9</v>
      </c>
      <c r="BI12" s="67">
        <v>172.3</v>
      </c>
      <c r="BJ12" s="67">
        <v>171.6</v>
      </c>
      <c r="BK12" s="67">
        <v>169.6</v>
      </c>
      <c r="BL12" s="67">
        <v>171</v>
      </c>
      <c r="BM12" s="55">
        <v>169.6</v>
      </c>
      <c r="BN12" s="193">
        <v>171.8</v>
      </c>
      <c r="BO12" s="67">
        <v>169.2</v>
      </c>
      <c r="BP12" s="67">
        <v>168.8</v>
      </c>
      <c r="BQ12" s="67">
        <v>169.2</v>
      </c>
      <c r="BR12" s="67">
        <v>171.2</v>
      </c>
      <c r="BS12" s="67">
        <v>168.4</v>
      </c>
      <c r="BT12" s="242">
        <v>166.7</v>
      </c>
      <c r="BU12" s="67">
        <v>165.3</v>
      </c>
      <c r="BV12" s="67">
        <v>169.4</v>
      </c>
      <c r="BW12" s="67">
        <v>156.1</v>
      </c>
      <c r="BX12" s="67">
        <v>154.1</v>
      </c>
      <c r="BY12" s="67">
        <v>151.7</v>
      </c>
      <c r="BZ12" s="67">
        <v>149.8</v>
      </c>
      <c r="CA12" s="67">
        <v>148.2</v>
      </c>
      <c r="CB12" s="67">
        <v>148.7</v>
      </c>
      <c r="CC12" s="67">
        <v>149</v>
      </c>
      <c r="CD12" s="67">
        <v>149.5</v>
      </c>
      <c r="CE12" s="67">
        <v>147.2</v>
      </c>
      <c r="CF12" s="242">
        <v>144.7</v>
      </c>
      <c r="CG12" s="242">
        <v>145.3</v>
      </c>
      <c r="CH12" s="67">
        <v>146.4</v>
      </c>
      <c r="CI12" s="67">
        <v>139.7</v>
      </c>
      <c r="CJ12" s="67">
        <v>138</v>
      </c>
      <c r="CK12" s="67">
        <v>135.9</v>
      </c>
      <c r="CL12" s="67">
        <v>128.34</v>
      </c>
      <c r="CM12" s="67">
        <v>127.1</v>
      </c>
      <c r="CN12" s="67">
        <v>127.7</v>
      </c>
      <c r="CO12" s="287">
        <v>121.64</v>
      </c>
      <c r="CP12" s="67">
        <v>121.5</v>
      </c>
      <c r="CQ12" s="67">
        <v>118.1</v>
      </c>
      <c r="CR12" s="67">
        <v>79.1</v>
      </c>
      <c r="CS12" s="67">
        <v>80.3</v>
      </c>
      <c r="CT12" s="67">
        <v>80.5</v>
      </c>
      <c r="CU12" s="67">
        <v>81.1</v>
      </c>
      <c r="CV12" s="67">
        <v>81</v>
      </c>
      <c r="CW12" s="67">
        <v>78</v>
      </c>
      <c r="CX12" s="67">
        <v>77.3</v>
      </c>
    </row>
    <row r="13" spans="1:102" ht="21.75" customHeight="1">
      <c r="A13" s="43" t="s">
        <v>11</v>
      </c>
      <c r="B13" s="78">
        <v>14187.6</v>
      </c>
      <c r="C13" s="79">
        <v>19325.4</v>
      </c>
      <c r="D13" s="80">
        <v>25793.4</v>
      </c>
      <c r="E13" s="79">
        <v>31197.8</v>
      </c>
      <c r="F13" s="79">
        <v>36327.2</v>
      </c>
      <c r="G13" s="79">
        <v>37392.5</v>
      </c>
      <c r="H13" s="79">
        <v>43438.8</v>
      </c>
      <c r="I13" s="81">
        <v>59568</v>
      </c>
      <c r="J13" s="79">
        <v>79710</v>
      </c>
      <c r="K13" s="82">
        <v>101587.3</v>
      </c>
      <c r="L13" s="50">
        <v>129503.9</v>
      </c>
      <c r="M13" s="51">
        <v>126379.25468</v>
      </c>
      <c r="N13" s="51">
        <v>129872.247</v>
      </c>
      <c r="O13" s="50">
        <v>132463.619421</v>
      </c>
      <c r="P13" s="50">
        <v>130092.67952</v>
      </c>
      <c r="Q13" s="52">
        <v>134347.3904</v>
      </c>
      <c r="R13" s="53">
        <v>144177.21441</v>
      </c>
      <c r="S13" s="54">
        <v>134488.52711</v>
      </c>
      <c r="T13" s="50">
        <v>137952.59004</v>
      </c>
      <c r="U13" s="50">
        <v>140117.1</v>
      </c>
      <c r="V13" s="52">
        <v>139614.44394</v>
      </c>
      <c r="W13" s="55">
        <v>140327.30948</v>
      </c>
      <c r="X13" s="51">
        <v>146633.4</v>
      </c>
      <c r="Y13" s="272">
        <v>160862.3</v>
      </c>
      <c r="Z13" s="55">
        <v>162312.3</v>
      </c>
      <c r="AA13" s="50">
        <v>171494.2</v>
      </c>
      <c r="AB13" s="50">
        <v>173844.34</v>
      </c>
      <c r="AC13" s="50">
        <v>175879.6</v>
      </c>
      <c r="AD13" s="50">
        <v>175519.4</v>
      </c>
      <c r="AE13" s="83">
        <v>174742</v>
      </c>
      <c r="AF13" s="84">
        <v>174636.54</v>
      </c>
      <c r="AG13" s="65">
        <v>182835.35</v>
      </c>
      <c r="AH13" s="85">
        <v>185083.2</v>
      </c>
      <c r="AI13" s="86">
        <v>181125.8</v>
      </c>
      <c r="AJ13" s="87">
        <v>186569.3</v>
      </c>
      <c r="AK13" s="85">
        <v>190121.9</v>
      </c>
      <c r="AL13" s="85">
        <v>194603.7</v>
      </c>
      <c r="AM13" s="85">
        <v>191093.5</v>
      </c>
      <c r="AN13" s="85">
        <v>198383.9</v>
      </c>
      <c r="AO13" s="88">
        <v>193745.14</v>
      </c>
      <c r="AP13" s="88">
        <v>194780.2</v>
      </c>
      <c r="AQ13" s="88">
        <v>192347.4</v>
      </c>
      <c r="AR13" s="88">
        <v>193659.24</v>
      </c>
      <c r="AS13" s="88">
        <v>192808.4</v>
      </c>
      <c r="AT13" s="88">
        <v>200675.2</v>
      </c>
      <c r="AU13" s="88">
        <v>205437.4</v>
      </c>
      <c r="AV13" s="260">
        <v>219653.5</v>
      </c>
      <c r="AW13" s="88">
        <v>214104.6</v>
      </c>
      <c r="AX13" s="88">
        <v>219190.2</v>
      </c>
      <c r="AY13" s="88">
        <v>217421.5</v>
      </c>
      <c r="AZ13" s="88">
        <v>214123.1</v>
      </c>
      <c r="BA13" s="89">
        <v>214973.8</v>
      </c>
      <c r="BB13" s="89">
        <v>219238.33</v>
      </c>
      <c r="BC13" s="89">
        <v>214497.7</v>
      </c>
      <c r="BD13" s="89">
        <v>216229.7</v>
      </c>
      <c r="BE13" s="89">
        <v>218480.4</v>
      </c>
      <c r="BF13" s="89">
        <v>223334.7</v>
      </c>
      <c r="BG13" s="89">
        <v>228043.5</v>
      </c>
      <c r="BH13" s="260">
        <v>243876.2</v>
      </c>
      <c r="BI13" s="88">
        <v>234975.3</v>
      </c>
      <c r="BJ13" s="88">
        <v>240209.2</v>
      </c>
      <c r="BK13" s="88">
        <v>239576</v>
      </c>
      <c r="BL13" s="88">
        <v>244090</v>
      </c>
      <c r="BM13" s="86">
        <v>252252.1</v>
      </c>
      <c r="BN13" s="193">
        <v>248355.4</v>
      </c>
      <c r="BO13" s="88">
        <v>247770.8</v>
      </c>
      <c r="BP13" s="88">
        <v>243556.3</v>
      </c>
      <c r="BQ13" s="88">
        <v>245543.2</v>
      </c>
      <c r="BR13" s="88">
        <v>250676.5</v>
      </c>
      <c r="BS13" s="88">
        <v>256540.4</v>
      </c>
      <c r="BT13" s="244">
        <v>270333.5</v>
      </c>
      <c r="BU13" s="88">
        <v>265699</v>
      </c>
      <c r="BV13" s="88">
        <v>270112.2</v>
      </c>
      <c r="BW13" s="88">
        <v>274453.8</v>
      </c>
      <c r="BX13" s="88">
        <v>274303.7</v>
      </c>
      <c r="BY13" s="88">
        <v>285092.5</v>
      </c>
      <c r="BZ13" s="88">
        <v>285238.2</v>
      </c>
      <c r="CA13" s="88">
        <v>279771.9</v>
      </c>
      <c r="CB13" s="88">
        <v>279566</v>
      </c>
      <c r="CC13" s="88">
        <v>280633.6</v>
      </c>
      <c r="CD13" s="88">
        <v>289179.5</v>
      </c>
      <c r="CE13" s="88">
        <v>294332.6</v>
      </c>
      <c r="CF13" s="244">
        <v>305069.7</v>
      </c>
      <c r="CG13" s="244">
        <v>289794.2</v>
      </c>
      <c r="CH13" s="88">
        <v>309761.4</v>
      </c>
      <c r="CI13" s="88">
        <v>308797.5</v>
      </c>
      <c r="CJ13" s="88">
        <v>310083.55</v>
      </c>
      <c r="CK13" s="88">
        <v>311720.8</v>
      </c>
      <c r="CL13" s="88">
        <v>316123.64</v>
      </c>
      <c r="CM13" s="88">
        <v>313983.3</v>
      </c>
      <c r="CN13" s="88">
        <v>316915.7</v>
      </c>
      <c r="CO13" s="289">
        <v>320177.7</v>
      </c>
      <c r="CP13" s="88">
        <v>333803.4</v>
      </c>
      <c r="CQ13" s="88">
        <v>344011.3</v>
      </c>
      <c r="CR13" s="88">
        <v>345121.1</v>
      </c>
      <c r="CS13" s="88">
        <v>336702.4</v>
      </c>
      <c r="CT13" s="88">
        <v>339934.6</v>
      </c>
      <c r="CU13" s="88">
        <v>343341</v>
      </c>
      <c r="CV13" s="88">
        <v>359500.9</v>
      </c>
      <c r="CW13" s="88">
        <v>360239</v>
      </c>
      <c r="CX13" s="88">
        <v>356796.6</v>
      </c>
    </row>
    <row r="14" spans="1:102" ht="16.5" customHeight="1">
      <c r="A14" s="90" t="s">
        <v>12</v>
      </c>
      <c r="B14" s="69">
        <f aca="true" t="shared" si="38" ref="B14:X14">SUM(B15:B22)</f>
        <v>25285.5</v>
      </c>
      <c r="C14" s="70">
        <f t="shared" si="38"/>
        <v>33776.4</v>
      </c>
      <c r="D14" s="71">
        <f t="shared" si="38"/>
        <v>43793.8</v>
      </c>
      <c r="E14" s="70">
        <f t="shared" si="38"/>
        <v>51136.600000000006</v>
      </c>
      <c r="F14" s="70">
        <f t="shared" si="38"/>
        <v>55147.299999999996</v>
      </c>
      <c r="G14" s="70">
        <f t="shared" si="38"/>
        <v>56381.799999999996</v>
      </c>
      <c r="H14" s="70">
        <f t="shared" si="38"/>
        <v>59868.5</v>
      </c>
      <c r="I14" s="91">
        <f t="shared" si="38"/>
        <v>76149.59999999999</v>
      </c>
      <c r="J14" s="92">
        <f t="shared" si="38"/>
        <v>100556.4</v>
      </c>
      <c r="K14" s="93">
        <f t="shared" si="38"/>
        <v>136493.8</v>
      </c>
      <c r="L14" s="91">
        <f t="shared" si="38"/>
        <v>182510.30000000002</v>
      </c>
      <c r="M14" s="92">
        <f t="shared" si="38"/>
        <v>178723</v>
      </c>
      <c r="N14" s="92">
        <f t="shared" si="38"/>
        <v>181494.61649999997</v>
      </c>
      <c r="O14" s="91">
        <f t="shared" si="38"/>
        <v>187476.541801</v>
      </c>
      <c r="P14" s="92">
        <f t="shared" si="38"/>
        <v>184007.58495999998</v>
      </c>
      <c r="Q14" s="92">
        <f t="shared" si="38"/>
        <v>189121.47608</v>
      </c>
      <c r="R14" s="91">
        <f t="shared" si="38"/>
        <v>202388.04461999997</v>
      </c>
      <c r="S14" s="91">
        <f t="shared" si="38"/>
        <v>192954.63157</v>
      </c>
      <c r="T14" s="91">
        <f t="shared" si="38"/>
        <v>195975.12888</v>
      </c>
      <c r="U14" s="91">
        <f t="shared" si="38"/>
        <v>200634.5</v>
      </c>
      <c r="V14" s="92">
        <f t="shared" si="38"/>
        <v>199580.785</v>
      </c>
      <c r="W14" s="91">
        <f t="shared" si="38"/>
        <v>201455.63009</v>
      </c>
      <c r="X14" s="92">
        <f t="shared" si="38"/>
        <v>210388.58</v>
      </c>
      <c r="Y14" s="274">
        <v>226841.9</v>
      </c>
      <c r="Z14" s="95">
        <f aca="true" t="shared" si="39" ref="Z14:BH14">SUM(Z15:Z22)</f>
        <v>228822.3</v>
      </c>
      <c r="AA14" s="91">
        <f t="shared" si="39"/>
        <v>235942.09999999998</v>
      </c>
      <c r="AB14" s="91">
        <f t="shared" si="39"/>
        <v>238452.69999999998</v>
      </c>
      <c r="AC14" s="91">
        <f t="shared" si="39"/>
        <v>238986.58</v>
      </c>
      <c r="AD14" s="91">
        <f t="shared" si="39"/>
        <v>239716.80000000002</v>
      </c>
      <c r="AE14" s="94">
        <f t="shared" si="39"/>
        <v>237881.69999999998</v>
      </c>
      <c r="AF14" s="91">
        <f t="shared" si="39"/>
        <v>238895.5</v>
      </c>
      <c r="AG14" s="93">
        <f t="shared" si="39"/>
        <v>246545.9</v>
      </c>
      <c r="AH14" s="92">
        <f t="shared" si="39"/>
        <v>251459.3</v>
      </c>
      <c r="AI14" s="95">
        <f t="shared" si="39"/>
        <v>246739.19999999998</v>
      </c>
      <c r="AJ14" s="96">
        <f t="shared" si="39"/>
        <v>252179.8</v>
      </c>
      <c r="AK14" s="92">
        <f t="shared" si="39"/>
        <v>255987.2</v>
      </c>
      <c r="AL14" s="92">
        <f t="shared" si="39"/>
        <v>259457.7</v>
      </c>
      <c r="AM14" s="92">
        <f t="shared" si="39"/>
        <v>254545.9</v>
      </c>
      <c r="AN14" s="92">
        <f t="shared" si="39"/>
        <v>261542.1</v>
      </c>
      <c r="AO14" s="97">
        <f t="shared" si="39"/>
        <v>255580.2</v>
      </c>
      <c r="AP14" s="97">
        <f t="shared" si="39"/>
        <v>257060.7</v>
      </c>
      <c r="AQ14" s="97">
        <f t="shared" si="39"/>
        <v>255082.85</v>
      </c>
      <c r="AR14" s="97">
        <f t="shared" si="39"/>
        <v>255443.58000000002</v>
      </c>
      <c r="AS14" s="97">
        <f t="shared" si="39"/>
        <v>253959.2</v>
      </c>
      <c r="AT14" s="97">
        <f t="shared" si="39"/>
        <v>261718.57</v>
      </c>
      <c r="AU14" s="97">
        <f t="shared" si="39"/>
        <v>265653.6</v>
      </c>
      <c r="AV14" s="261">
        <f t="shared" si="39"/>
        <v>280763.8</v>
      </c>
      <c r="AW14" s="97">
        <f t="shared" si="39"/>
        <v>268239.7</v>
      </c>
      <c r="AX14" s="97">
        <f t="shared" si="39"/>
        <v>272404.30000000005</v>
      </c>
      <c r="AY14" s="97">
        <f t="shared" si="39"/>
        <v>268935.1</v>
      </c>
      <c r="AZ14" s="97">
        <f t="shared" si="39"/>
        <v>265250.9</v>
      </c>
      <c r="BA14" s="98">
        <f t="shared" si="39"/>
        <v>266229.1</v>
      </c>
      <c r="BB14" s="98">
        <f t="shared" si="39"/>
        <v>273834.7</v>
      </c>
      <c r="BC14" s="98">
        <f t="shared" si="39"/>
        <v>268640.8</v>
      </c>
      <c r="BD14" s="98">
        <f t="shared" si="39"/>
        <v>270339.89999999997</v>
      </c>
      <c r="BE14" s="98">
        <f t="shared" si="39"/>
        <v>272131.39999999997</v>
      </c>
      <c r="BF14" s="98">
        <f t="shared" si="39"/>
        <v>277077.80000000005</v>
      </c>
      <c r="BG14" s="98">
        <f t="shared" si="39"/>
        <v>281841</v>
      </c>
      <c r="BH14" s="261">
        <f t="shared" si="39"/>
        <v>299142.60000000003</v>
      </c>
      <c r="BI14" s="97">
        <f aca="true" t="shared" si="40" ref="BI14:BN14">SUM(BI15:BI22)</f>
        <v>290246.1</v>
      </c>
      <c r="BJ14" s="97">
        <f t="shared" si="40"/>
        <v>294597.6</v>
      </c>
      <c r="BK14" s="97">
        <f t="shared" si="40"/>
        <v>293582.4</v>
      </c>
      <c r="BL14" s="97">
        <f t="shared" si="40"/>
        <v>297926.19999999995</v>
      </c>
      <c r="BM14" s="95">
        <f t="shared" si="40"/>
        <v>306275.48</v>
      </c>
      <c r="BN14" s="195">
        <f t="shared" si="40"/>
        <v>302421.10000000003</v>
      </c>
      <c r="BO14" s="97">
        <f aca="true" t="shared" si="41" ref="BO14:BT14">SUM(BO15:BO22)</f>
        <v>300994.8</v>
      </c>
      <c r="BP14" s="97">
        <f t="shared" si="41"/>
        <v>296362.8</v>
      </c>
      <c r="BQ14" s="97">
        <f t="shared" si="41"/>
        <v>298090.60000000003</v>
      </c>
      <c r="BR14" s="97">
        <f t="shared" si="41"/>
        <v>303627.5</v>
      </c>
      <c r="BS14" s="97">
        <f t="shared" si="41"/>
        <v>309343.80000000005</v>
      </c>
      <c r="BT14" s="245">
        <f t="shared" si="41"/>
        <v>323039.3</v>
      </c>
      <c r="BU14" s="97">
        <f aca="true" t="shared" si="42" ref="BU14:BZ14">SUM(BU15:BU22)</f>
        <v>317877.3</v>
      </c>
      <c r="BV14" s="97">
        <f t="shared" si="42"/>
        <v>322256.7</v>
      </c>
      <c r="BW14" s="97">
        <f t="shared" si="42"/>
        <v>326781</v>
      </c>
      <c r="BX14" s="97">
        <f t="shared" si="42"/>
        <v>326123.8</v>
      </c>
      <c r="BY14" s="97">
        <f t="shared" si="42"/>
        <v>337023.2</v>
      </c>
      <c r="BZ14" s="97">
        <f t="shared" si="42"/>
        <v>336593.4</v>
      </c>
      <c r="CA14" s="97">
        <f aca="true" t="shared" si="43" ref="CA14:CF14">SUM(CA15:CA22)</f>
        <v>330993.89999999997</v>
      </c>
      <c r="CB14" s="97">
        <f t="shared" si="43"/>
        <v>333090.50000000006</v>
      </c>
      <c r="CC14" s="97">
        <f t="shared" si="43"/>
        <v>328871.2</v>
      </c>
      <c r="CD14" s="97">
        <f t="shared" si="43"/>
        <v>337195.69999999995</v>
      </c>
      <c r="CE14" s="97">
        <f t="shared" si="43"/>
        <v>342564.60000000003</v>
      </c>
      <c r="CF14" s="245">
        <f t="shared" si="43"/>
        <v>353015.9</v>
      </c>
      <c r="CG14" s="245">
        <f aca="true" t="shared" si="44" ref="CG14:CM14">SUM(CG15:CG22)</f>
        <v>337601.7</v>
      </c>
      <c r="CH14" s="97">
        <f t="shared" si="44"/>
        <v>356455</v>
      </c>
      <c r="CI14" s="97">
        <f t="shared" si="44"/>
        <v>350874.7</v>
      </c>
      <c r="CJ14" s="97">
        <f t="shared" si="44"/>
        <v>352000.20000000007</v>
      </c>
      <c r="CK14" s="97">
        <f t="shared" si="44"/>
        <v>353484.1</v>
      </c>
      <c r="CL14" s="97">
        <f t="shared" si="44"/>
        <v>356740.48000000004</v>
      </c>
      <c r="CM14" s="97">
        <f t="shared" si="44"/>
        <v>355122.95</v>
      </c>
      <c r="CN14" s="97">
        <v>357931.20000000007</v>
      </c>
      <c r="CO14" s="290">
        <f>SUM(CO15:CO22)</f>
        <v>360343.08</v>
      </c>
      <c r="CP14" s="97">
        <f>SUM(CP15:CP22)</f>
        <v>373820.7</v>
      </c>
      <c r="CQ14" s="97">
        <f>SUM(CQ15:CQ22)</f>
        <v>383834.5</v>
      </c>
      <c r="CR14" s="97">
        <v>384965</v>
      </c>
      <c r="CS14" s="97">
        <f>SUM(CS15:CS22)</f>
        <v>377126.10000000003</v>
      </c>
      <c r="CT14" s="97">
        <v>380164.10000000003</v>
      </c>
      <c r="CU14" s="97">
        <f>SUM(CU15:CU22)</f>
        <v>383574</v>
      </c>
      <c r="CV14" s="97">
        <f>SUM(CV15:CV22)</f>
        <v>394737.4</v>
      </c>
      <c r="CW14" s="97">
        <f>SUM(CW15:CW22)</f>
        <v>395296.1</v>
      </c>
      <c r="CX14" s="97">
        <f>SUM(CX15:CX22)</f>
        <v>391572.8</v>
      </c>
    </row>
    <row r="15" spans="1:102" ht="21.75" customHeight="1">
      <c r="A15" s="99" t="s">
        <v>13</v>
      </c>
      <c r="B15" s="78">
        <f>2429.4+845.2</f>
        <v>3274.6000000000004</v>
      </c>
      <c r="C15" s="45">
        <v>4779.3</v>
      </c>
      <c r="D15" s="46">
        <v>5996.2</v>
      </c>
      <c r="E15" s="47">
        <v>4325.8</v>
      </c>
      <c r="F15" s="48">
        <v>6027.6</v>
      </c>
      <c r="G15" s="49">
        <f>1339</f>
        <v>1339</v>
      </c>
      <c r="H15" s="48">
        <f>1086</f>
        <v>1086</v>
      </c>
      <c r="I15" s="48">
        <v>2514.4</v>
      </c>
      <c r="J15" s="49">
        <v>8106.9</v>
      </c>
      <c r="K15" s="47">
        <v>23432.2</v>
      </c>
      <c r="L15" s="50">
        <v>32659.2</v>
      </c>
      <c r="M15" s="51">
        <v>34040.1</v>
      </c>
      <c r="N15" s="51">
        <v>34910.66</v>
      </c>
      <c r="O15" s="50">
        <v>34591.93</v>
      </c>
      <c r="P15" s="50">
        <v>35773.1</v>
      </c>
      <c r="Q15" s="52">
        <v>35716.6</v>
      </c>
      <c r="R15" s="53">
        <v>35342.1</v>
      </c>
      <c r="S15" s="54">
        <v>32607.3</v>
      </c>
      <c r="T15" s="50">
        <v>31814.1</v>
      </c>
      <c r="U15" s="50">
        <v>31683.3</v>
      </c>
      <c r="V15" s="52">
        <v>31998.7</v>
      </c>
      <c r="W15" s="55">
        <v>32012.7</v>
      </c>
      <c r="X15" s="51">
        <v>33743.8</v>
      </c>
      <c r="Y15" s="272">
        <v>27262.6</v>
      </c>
      <c r="Z15" s="55">
        <v>24210.8</v>
      </c>
      <c r="AA15" s="50">
        <v>21850.7</v>
      </c>
      <c r="AB15" s="50">
        <v>19361.7</v>
      </c>
      <c r="AC15" s="50">
        <v>16687.9</v>
      </c>
      <c r="AD15" s="50">
        <v>13565.8</v>
      </c>
      <c r="AE15" s="64">
        <v>13563.75</v>
      </c>
      <c r="AF15" s="50">
        <v>13162</v>
      </c>
      <c r="AG15" s="58">
        <v>11379</v>
      </c>
      <c r="AH15" s="51">
        <v>12577.2</v>
      </c>
      <c r="AI15" s="55">
        <v>10481.7</v>
      </c>
      <c r="AJ15" s="66">
        <v>10298.1</v>
      </c>
      <c r="AK15" s="51">
        <v>9534.8</v>
      </c>
      <c r="AL15" s="51">
        <v>8533.7</v>
      </c>
      <c r="AM15" s="51">
        <v>8032</v>
      </c>
      <c r="AN15" s="51">
        <v>9329.9</v>
      </c>
      <c r="AO15" s="67">
        <v>9327.8</v>
      </c>
      <c r="AP15" s="67">
        <v>9826.1</v>
      </c>
      <c r="AQ15" s="67">
        <v>9801</v>
      </c>
      <c r="AR15" s="67">
        <v>10099.64</v>
      </c>
      <c r="AS15" s="67">
        <v>10098.1</v>
      </c>
      <c r="AT15" s="67">
        <v>10696</v>
      </c>
      <c r="AU15" s="67">
        <v>10894.5</v>
      </c>
      <c r="AV15" s="258">
        <v>10793.4</v>
      </c>
      <c r="AW15" s="67">
        <v>11092.3</v>
      </c>
      <c r="AX15" s="67">
        <v>12245.6</v>
      </c>
      <c r="AY15" s="67">
        <v>11744</v>
      </c>
      <c r="AZ15" s="67">
        <v>12742.6</v>
      </c>
      <c r="BA15" s="68">
        <v>11886.4</v>
      </c>
      <c r="BB15" s="68">
        <v>10386.4</v>
      </c>
      <c r="BC15" s="68">
        <v>9983.2</v>
      </c>
      <c r="BD15" s="68">
        <v>9981.1</v>
      </c>
      <c r="BE15" s="68">
        <v>9479.7</v>
      </c>
      <c r="BF15" s="68">
        <v>10878.2</v>
      </c>
      <c r="BG15" s="68">
        <v>10476.9</v>
      </c>
      <c r="BH15" s="258">
        <v>9176.1</v>
      </c>
      <c r="BI15" s="67">
        <v>10974.9</v>
      </c>
      <c r="BJ15" s="67">
        <v>11573.5</v>
      </c>
      <c r="BK15" s="67">
        <v>10073.5</v>
      </c>
      <c r="BL15" s="67">
        <v>11070.8</v>
      </c>
      <c r="BM15" s="55">
        <v>10930.4</v>
      </c>
      <c r="BN15" s="193">
        <v>11529</v>
      </c>
      <c r="BO15" s="67">
        <v>11726.7</v>
      </c>
      <c r="BP15" s="67">
        <v>12525.3</v>
      </c>
      <c r="BQ15" s="67">
        <v>12323.9</v>
      </c>
      <c r="BR15" s="67">
        <v>12422.9</v>
      </c>
      <c r="BS15" s="67">
        <v>12132.8</v>
      </c>
      <c r="BT15" s="242">
        <v>11988.5</v>
      </c>
      <c r="BU15" s="67">
        <v>11671.5</v>
      </c>
      <c r="BV15" s="67">
        <v>12169.5</v>
      </c>
      <c r="BW15" s="67">
        <v>11868.1</v>
      </c>
      <c r="BX15" s="67">
        <v>11666.9</v>
      </c>
      <c r="BY15" s="67">
        <v>10349</v>
      </c>
      <c r="BZ15" s="67">
        <v>11147.7</v>
      </c>
      <c r="CA15" s="67">
        <v>12846.3</v>
      </c>
      <c r="CB15" s="67">
        <v>11544.7</v>
      </c>
      <c r="CC15" s="67">
        <v>10743.7</v>
      </c>
      <c r="CD15" s="67">
        <v>9942.1</v>
      </c>
      <c r="CE15" s="67">
        <v>9229.5</v>
      </c>
      <c r="CF15" s="242">
        <v>8428.6</v>
      </c>
      <c r="CG15" s="242">
        <v>7944.2</v>
      </c>
      <c r="CH15" s="67">
        <v>5743.4</v>
      </c>
      <c r="CI15" s="67">
        <v>5842.6</v>
      </c>
      <c r="CJ15" s="67">
        <v>5041.5</v>
      </c>
      <c r="CK15" s="67">
        <v>4225.2</v>
      </c>
      <c r="CL15" s="67">
        <v>2384</v>
      </c>
      <c r="CM15" s="67">
        <v>2384</v>
      </c>
      <c r="CN15" s="67">
        <v>1930.2</v>
      </c>
      <c r="CO15" s="287">
        <v>2432.9</v>
      </c>
      <c r="CP15" s="67">
        <v>2972.9</v>
      </c>
      <c r="CQ15" s="67">
        <v>3571.2</v>
      </c>
      <c r="CR15" s="67">
        <v>3997</v>
      </c>
      <c r="CS15" s="67">
        <v>3995.7</v>
      </c>
      <c r="CT15" s="67">
        <v>3489.2</v>
      </c>
      <c r="CU15" s="67">
        <v>3160.7</v>
      </c>
      <c r="CV15" s="67">
        <v>3242.1</v>
      </c>
      <c r="CW15" s="67">
        <v>3097.6</v>
      </c>
      <c r="CX15" s="67">
        <v>3096.1</v>
      </c>
    </row>
    <row r="16" spans="1:102" ht="18.75" customHeight="1">
      <c r="A16" s="99" t="s">
        <v>14</v>
      </c>
      <c r="B16" s="78">
        <v>0</v>
      </c>
      <c r="C16" s="45">
        <v>0</v>
      </c>
      <c r="D16" s="46">
        <v>0</v>
      </c>
      <c r="E16" s="47">
        <v>0</v>
      </c>
      <c r="F16" s="48">
        <v>0</v>
      </c>
      <c r="G16" s="49">
        <v>0</v>
      </c>
      <c r="H16" s="48">
        <v>0</v>
      </c>
      <c r="I16" s="48">
        <v>0</v>
      </c>
      <c r="J16" s="49">
        <v>1825</v>
      </c>
      <c r="K16" s="47">
        <v>0</v>
      </c>
      <c r="L16" s="50">
        <v>0</v>
      </c>
      <c r="M16" s="51">
        <v>0</v>
      </c>
      <c r="N16" s="51">
        <v>0</v>
      </c>
      <c r="O16" s="50">
        <v>0</v>
      </c>
      <c r="P16" s="50">
        <v>0</v>
      </c>
      <c r="Q16" s="52">
        <v>0</v>
      </c>
      <c r="R16" s="53">
        <v>0</v>
      </c>
      <c r="S16" s="54">
        <v>0</v>
      </c>
      <c r="T16" s="50">
        <v>0</v>
      </c>
      <c r="U16" s="50">
        <v>0</v>
      </c>
      <c r="V16" s="52">
        <v>0</v>
      </c>
      <c r="W16" s="55">
        <v>0</v>
      </c>
      <c r="X16" s="51">
        <v>2200</v>
      </c>
      <c r="Y16" s="272">
        <v>0</v>
      </c>
      <c r="Z16" s="55">
        <v>0</v>
      </c>
      <c r="AA16" s="50">
        <v>0</v>
      </c>
      <c r="AB16" s="50">
        <v>0</v>
      </c>
      <c r="AC16" s="50">
        <v>0</v>
      </c>
      <c r="AD16" s="50">
        <v>0</v>
      </c>
      <c r="AE16" s="64">
        <v>0</v>
      </c>
      <c r="AF16" s="50">
        <v>0</v>
      </c>
      <c r="AG16" s="77">
        <v>0</v>
      </c>
      <c r="AH16" s="51">
        <v>0</v>
      </c>
      <c r="AI16" s="55">
        <v>0</v>
      </c>
      <c r="AJ16" s="66">
        <v>0</v>
      </c>
      <c r="AK16" s="51">
        <v>0</v>
      </c>
      <c r="AL16" s="51">
        <v>0</v>
      </c>
      <c r="AM16" s="51">
        <v>0</v>
      </c>
      <c r="AN16" s="51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258">
        <v>0</v>
      </c>
      <c r="AW16" s="67">
        <v>0</v>
      </c>
      <c r="AX16" s="67">
        <v>0</v>
      </c>
      <c r="AY16" s="67">
        <v>0</v>
      </c>
      <c r="AZ16" s="67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258">
        <v>0</v>
      </c>
      <c r="BI16" s="67">
        <v>0</v>
      </c>
      <c r="BJ16" s="67">
        <v>0</v>
      </c>
      <c r="BK16" s="67">
        <v>0</v>
      </c>
      <c r="BL16" s="67">
        <v>0</v>
      </c>
      <c r="BM16" s="55">
        <v>0</v>
      </c>
      <c r="BN16" s="193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242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242">
        <v>0</v>
      </c>
      <c r="CG16" s="242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28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</row>
    <row r="17" spans="1:102" ht="19.5" customHeight="1">
      <c r="A17" s="99" t="s">
        <v>15</v>
      </c>
      <c r="B17" s="78">
        <f>393.8+2317.8</f>
        <v>2711.6000000000004</v>
      </c>
      <c r="C17" s="45">
        <f>1053.3+1648.4</f>
        <v>2701.7</v>
      </c>
      <c r="D17" s="46">
        <f>1874.2+755.8</f>
        <v>2630</v>
      </c>
      <c r="E17" s="47">
        <f>2666.4+108.3</f>
        <v>2774.7000000000003</v>
      </c>
      <c r="F17" s="48">
        <f>2414.2+80.4</f>
        <v>2494.6</v>
      </c>
      <c r="G17" s="49">
        <f>4426.7+55.2</f>
        <v>4481.9</v>
      </c>
      <c r="H17" s="48">
        <f>3119.1+18.8</f>
        <v>3137.9</v>
      </c>
      <c r="I17" s="48">
        <v>6885.4</v>
      </c>
      <c r="J17" s="49">
        <v>9505.7</v>
      </c>
      <c r="K17" s="47">
        <v>23146.2</v>
      </c>
      <c r="L17" s="50">
        <v>34021.4</v>
      </c>
      <c r="M17" s="51">
        <v>35529.3</v>
      </c>
      <c r="N17" s="51">
        <v>36986.4</v>
      </c>
      <c r="O17" s="50">
        <v>37457.4</v>
      </c>
      <c r="P17" s="50">
        <v>38254.2</v>
      </c>
      <c r="Q17" s="52">
        <v>42949.2</v>
      </c>
      <c r="R17" s="53">
        <v>44969.7</v>
      </c>
      <c r="S17" s="54">
        <v>48543.7</v>
      </c>
      <c r="T17" s="50">
        <v>49673.1</v>
      </c>
      <c r="U17" s="50">
        <v>50468.6</v>
      </c>
      <c r="V17" s="52">
        <v>48183.3</v>
      </c>
      <c r="W17" s="55">
        <v>49097</v>
      </c>
      <c r="X17" s="51">
        <v>50110</v>
      </c>
      <c r="Y17" s="272">
        <v>72929.1</v>
      </c>
      <c r="Z17" s="55">
        <v>83551.5</v>
      </c>
      <c r="AA17" s="50">
        <v>86528.9</v>
      </c>
      <c r="AB17" s="50">
        <v>86386.1</v>
      </c>
      <c r="AC17" s="50">
        <v>90993.34</v>
      </c>
      <c r="AD17" s="50">
        <v>96268.8</v>
      </c>
      <c r="AE17" s="64">
        <v>95449.45</v>
      </c>
      <c r="AF17" s="50">
        <v>95312.1</v>
      </c>
      <c r="AG17" s="77">
        <v>98248.1</v>
      </c>
      <c r="AH17" s="51">
        <v>96755.7</v>
      </c>
      <c r="AI17" s="55">
        <v>95497.9</v>
      </c>
      <c r="AJ17" s="66">
        <v>98137.6</v>
      </c>
      <c r="AK17" s="51">
        <v>102279</v>
      </c>
      <c r="AL17" s="51">
        <v>105116</v>
      </c>
      <c r="AM17" s="51">
        <v>104175.3</v>
      </c>
      <c r="AN17" s="51">
        <v>101479.9</v>
      </c>
      <c r="AO17" s="67">
        <v>98298.9</v>
      </c>
      <c r="AP17" s="67">
        <v>100914.7</v>
      </c>
      <c r="AQ17" s="67">
        <v>98673.7</v>
      </c>
      <c r="AR17" s="67">
        <v>100677.34</v>
      </c>
      <c r="AS17" s="67">
        <v>102093.1</v>
      </c>
      <c r="AT17" s="67">
        <v>98497.54</v>
      </c>
      <c r="AU17" s="67">
        <v>101231.4</v>
      </c>
      <c r="AV17" s="258">
        <v>102920.4</v>
      </c>
      <c r="AW17" s="67">
        <v>105131</v>
      </c>
      <c r="AX17" s="67">
        <v>108689.1</v>
      </c>
      <c r="AY17" s="67">
        <v>110423.5</v>
      </c>
      <c r="AZ17" s="67">
        <v>105099.5</v>
      </c>
      <c r="BA17" s="68">
        <v>106353.1</v>
      </c>
      <c r="BB17" s="68">
        <v>107648.9</v>
      </c>
      <c r="BC17" s="68">
        <v>104960.7</v>
      </c>
      <c r="BD17" s="68">
        <v>106782.9</v>
      </c>
      <c r="BE17" s="68">
        <v>109257.7</v>
      </c>
      <c r="BF17" s="68">
        <v>104088.6</v>
      </c>
      <c r="BG17" s="68">
        <v>106630.4</v>
      </c>
      <c r="BH17" s="258">
        <v>109073.3</v>
      </c>
      <c r="BI17" s="67">
        <v>105064.3</v>
      </c>
      <c r="BJ17" s="67">
        <v>103300.7</v>
      </c>
      <c r="BK17" s="67">
        <v>107542.4</v>
      </c>
      <c r="BL17" s="67">
        <v>110412.4</v>
      </c>
      <c r="BM17" s="55">
        <v>106172.8</v>
      </c>
      <c r="BN17" s="193">
        <v>108898.3</v>
      </c>
      <c r="BO17" s="67">
        <v>110879.5</v>
      </c>
      <c r="BP17" s="67">
        <v>108117.8</v>
      </c>
      <c r="BQ17" s="67">
        <v>110949.8</v>
      </c>
      <c r="BR17" s="67">
        <v>113916.2</v>
      </c>
      <c r="BS17" s="67">
        <v>115168</v>
      </c>
      <c r="BT17" s="242">
        <v>116630</v>
      </c>
      <c r="BU17" s="67">
        <v>118919</v>
      </c>
      <c r="BV17" s="67">
        <v>120673.3</v>
      </c>
      <c r="BW17" s="67">
        <v>123687.4</v>
      </c>
      <c r="BX17" s="67">
        <v>127205.9</v>
      </c>
      <c r="BY17" s="67">
        <v>130470.2</v>
      </c>
      <c r="BZ17" s="67">
        <v>127075</v>
      </c>
      <c r="CA17" s="67">
        <v>122918</v>
      </c>
      <c r="CB17" s="67">
        <v>125813.3</v>
      </c>
      <c r="CC17" s="67">
        <v>128709.6</v>
      </c>
      <c r="CD17" s="67">
        <v>128708.4</v>
      </c>
      <c r="CE17" s="67">
        <v>129957.7</v>
      </c>
      <c r="CF17" s="242">
        <v>131343.1</v>
      </c>
      <c r="CG17" s="242">
        <v>126712.5</v>
      </c>
      <c r="CH17" s="67">
        <v>130673.1</v>
      </c>
      <c r="CI17" s="67">
        <v>133914.6</v>
      </c>
      <c r="CJ17" s="67">
        <v>136588.7</v>
      </c>
      <c r="CK17" s="67">
        <v>138277.4</v>
      </c>
      <c r="CL17" s="67">
        <v>141223.7</v>
      </c>
      <c r="CM17" s="67">
        <v>145469.65</v>
      </c>
      <c r="CN17" s="67">
        <v>148046.2</v>
      </c>
      <c r="CO17" s="287">
        <v>151762.1</v>
      </c>
      <c r="CP17" s="67">
        <v>156878.6</v>
      </c>
      <c r="CQ17" s="67">
        <v>153071.4</v>
      </c>
      <c r="CR17" s="67">
        <v>158393.7</v>
      </c>
      <c r="CS17" s="67">
        <v>156159.6</v>
      </c>
      <c r="CT17" s="67">
        <v>153152.4</v>
      </c>
      <c r="CU17" s="67">
        <v>156032.5</v>
      </c>
      <c r="CV17" s="67">
        <v>150609.5</v>
      </c>
      <c r="CW17" s="67">
        <v>153824.3</v>
      </c>
      <c r="CX17" s="67">
        <v>151988.6</v>
      </c>
    </row>
    <row r="18" spans="1:102" ht="19.5" customHeight="1">
      <c r="A18" s="99" t="s">
        <v>57</v>
      </c>
      <c r="B18" s="78"/>
      <c r="C18" s="45"/>
      <c r="D18" s="46"/>
      <c r="E18" s="47"/>
      <c r="F18" s="48"/>
      <c r="G18" s="49"/>
      <c r="H18" s="48"/>
      <c r="I18" s="48"/>
      <c r="J18" s="49"/>
      <c r="K18" s="47"/>
      <c r="L18" s="50"/>
      <c r="M18" s="51"/>
      <c r="N18" s="51"/>
      <c r="O18" s="50"/>
      <c r="P18" s="50"/>
      <c r="Q18" s="52"/>
      <c r="R18" s="53"/>
      <c r="S18" s="54"/>
      <c r="T18" s="50"/>
      <c r="U18" s="50"/>
      <c r="V18" s="52"/>
      <c r="W18" s="55"/>
      <c r="X18" s="51"/>
      <c r="Y18" s="272"/>
      <c r="Z18" s="55"/>
      <c r="AA18" s="50"/>
      <c r="AB18" s="50"/>
      <c r="AC18" s="50"/>
      <c r="AD18" s="50"/>
      <c r="AE18" s="64"/>
      <c r="AF18" s="50"/>
      <c r="AG18" s="77"/>
      <c r="AH18" s="51"/>
      <c r="AI18" s="55"/>
      <c r="AJ18" s="66"/>
      <c r="AK18" s="51"/>
      <c r="AL18" s="51"/>
      <c r="AM18" s="51"/>
      <c r="AN18" s="51"/>
      <c r="AO18" s="67"/>
      <c r="AP18" s="67"/>
      <c r="AQ18" s="67"/>
      <c r="AR18" s="67"/>
      <c r="AS18" s="67"/>
      <c r="AT18" s="67"/>
      <c r="AU18" s="67"/>
      <c r="AV18" s="258"/>
      <c r="AW18" s="67"/>
      <c r="AX18" s="67"/>
      <c r="AY18" s="67"/>
      <c r="AZ18" s="67"/>
      <c r="BA18" s="68"/>
      <c r="BB18" s="68"/>
      <c r="BC18" s="68"/>
      <c r="BD18" s="68"/>
      <c r="BE18" s="68"/>
      <c r="BF18" s="68"/>
      <c r="BG18" s="68"/>
      <c r="BH18" s="258"/>
      <c r="BI18" s="67"/>
      <c r="BJ18" s="67"/>
      <c r="BK18" s="67"/>
      <c r="BL18" s="67"/>
      <c r="BM18" s="55"/>
      <c r="BN18" s="193"/>
      <c r="BO18" s="67"/>
      <c r="BP18" s="67"/>
      <c r="BQ18" s="67"/>
      <c r="BR18" s="67"/>
      <c r="BS18" s="67"/>
      <c r="BT18" s="242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242"/>
      <c r="CG18" s="242"/>
      <c r="CH18" s="67"/>
      <c r="CI18" s="67"/>
      <c r="CJ18" s="67"/>
      <c r="CK18" s="67"/>
      <c r="CL18" s="67"/>
      <c r="CM18" s="67"/>
      <c r="CN18" s="67"/>
      <c r="CO18" s="287"/>
      <c r="CP18" s="67"/>
      <c r="CQ18" s="67"/>
      <c r="CR18" s="67"/>
      <c r="CS18" s="67"/>
      <c r="CT18" s="67"/>
      <c r="CU18" s="67"/>
      <c r="CV18" s="67"/>
      <c r="CW18" s="67">
        <v>3516.3</v>
      </c>
      <c r="CX18" s="67">
        <v>3830.9</v>
      </c>
    </row>
    <row r="19" spans="1:102" ht="19.5" customHeight="1">
      <c r="A19" s="100" t="s">
        <v>16</v>
      </c>
      <c r="B19" s="78">
        <v>1521.8</v>
      </c>
      <c r="C19" s="45">
        <v>3782.9</v>
      </c>
      <c r="D19" s="46">
        <v>6110.8</v>
      </c>
      <c r="E19" s="47">
        <v>10073.7</v>
      </c>
      <c r="F19" s="48">
        <v>9717.4</v>
      </c>
      <c r="G19" s="49">
        <v>7354.2</v>
      </c>
      <c r="H19" s="48">
        <v>6763.4</v>
      </c>
      <c r="I19" s="48">
        <v>7220.4</v>
      </c>
      <c r="J19" s="49">
        <v>8569.9</v>
      </c>
      <c r="K19" s="47">
        <v>9093.6</v>
      </c>
      <c r="L19" s="50">
        <v>10497.8</v>
      </c>
      <c r="M19" s="51">
        <v>10424.5</v>
      </c>
      <c r="N19" s="51">
        <v>10326.75</v>
      </c>
      <c r="O19" s="50">
        <v>10079.545</v>
      </c>
      <c r="P19" s="50">
        <v>9982.28</v>
      </c>
      <c r="Q19" s="52">
        <v>10095.96</v>
      </c>
      <c r="R19" s="53">
        <v>16724.695</v>
      </c>
      <c r="S19" s="54">
        <v>16749.185</v>
      </c>
      <c r="T19" s="50">
        <v>16680.06</v>
      </c>
      <c r="U19" s="50">
        <v>17195.5</v>
      </c>
      <c r="V19" s="52">
        <v>17080.985</v>
      </c>
      <c r="W19" s="55">
        <v>17197.905</v>
      </c>
      <c r="X19" s="51">
        <v>17062.84</v>
      </c>
      <c r="Y19" s="272">
        <v>31912.3</v>
      </c>
      <c r="Z19" s="55">
        <v>31380</v>
      </c>
      <c r="AA19" s="50">
        <v>36538.1</v>
      </c>
      <c r="AB19" s="50">
        <v>37205.5</v>
      </c>
      <c r="AC19" s="50">
        <v>36183.34</v>
      </c>
      <c r="AD19" s="50">
        <v>37330</v>
      </c>
      <c r="AE19" s="64">
        <v>36664.7</v>
      </c>
      <c r="AF19" s="50">
        <v>36967.9</v>
      </c>
      <c r="AG19" s="77">
        <v>43616.9</v>
      </c>
      <c r="AH19" s="51">
        <v>45394.6</v>
      </c>
      <c r="AI19" s="55">
        <v>45550.25</v>
      </c>
      <c r="AJ19" s="66">
        <v>45841.9</v>
      </c>
      <c r="AK19" s="51">
        <v>52835.7</v>
      </c>
      <c r="AL19" s="51">
        <v>52501.5</v>
      </c>
      <c r="AM19" s="51">
        <v>51989.3</v>
      </c>
      <c r="AN19" s="51">
        <v>57451.6</v>
      </c>
      <c r="AO19" s="67">
        <v>57064.3</v>
      </c>
      <c r="AP19" s="67">
        <v>56865.6</v>
      </c>
      <c r="AQ19" s="67">
        <v>57648.52</v>
      </c>
      <c r="AR19" s="67">
        <v>57866.8</v>
      </c>
      <c r="AS19" s="67">
        <v>58736</v>
      </c>
      <c r="AT19" s="67">
        <v>65423.73</v>
      </c>
      <c r="AU19" s="67">
        <v>65784.2</v>
      </c>
      <c r="AV19" s="258">
        <v>67140.9</v>
      </c>
      <c r="AW19" s="67">
        <v>68050</v>
      </c>
      <c r="AX19" s="67">
        <v>68211.4</v>
      </c>
      <c r="AY19" s="67">
        <v>64432</v>
      </c>
      <c r="AZ19" s="67">
        <v>63611.5</v>
      </c>
      <c r="BA19" s="68">
        <v>64300.4</v>
      </c>
      <c r="BB19" s="68">
        <v>64362</v>
      </c>
      <c r="BC19" s="68">
        <v>63860.1</v>
      </c>
      <c r="BD19" s="68">
        <v>63715.4</v>
      </c>
      <c r="BE19" s="68">
        <v>63475.9</v>
      </c>
      <c r="BF19" s="68">
        <v>73007.6</v>
      </c>
      <c r="BG19" s="68">
        <v>74153.1</v>
      </c>
      <c r="BH19" s="258">
        <v>74749.9</v>
      </c>
      <c r="BI19" s="67">
        <v>74880.9</v>
      </c>
      <c r="BJ19" s="67">
        <v>79422.6</v>
      </c>
      <c r="BK19" s="67">
        <v>78548.3</v>
      </c>
      <c r="BL19" s="67">
        <v>78592.7</v>
      </c>
      <c r="BM19" s="55">
        <v>84187.74</v>
      </c>
      <c r="BN19" s="193">
        <v>77610.6</v>
      </c>
      <c r="BO19" s="67">
        <v>76701.7</v>
      </c>
      <c r="BP19" s="67">
        <v>76410.5</v>
      </c>
      <c r="BQ19" s="67">
        <v>76325.3</v>
      </c>
      <c r="BR19" s="67">
        <v>82224.5</v>
      </c>
      <c r="BS19" s="67">
        <v>83214.6</v>
      </c>
      <c r="BT19" s="242">
        <v>83778.3</v>
      </c>
      <c r="BU19" s="67">
        <v>82740.7</v>
      </c>
      <c r="BV19" s="67">
        <v>83208.7</v>
      </c>
      <c r="BW19" s="67">
        <v>83667.9</v>
      </c>
      <c r="BX19" s="67">
        <v>82768.6</v>
      </c>
      <c r="BY19" s="67">
        <v>90895.3</v>
      </c>
      <c r="BZ19" s="67">
        <v>90121.2</v>
      </c>
      <c r="CA19" s="67">
        <v>89609.2</v>
      </c>
      <c r="CB19" s="67">
        <v>89937.7</v>
      </c>
      <c r="CC19" s="67">
        <v>90248.6</v>
      </c>
      <c r="CD19" s="67">
        <v>95158.1</v>
      </c>
      <c r="CE19" s="67">
        <v>95647.9</v>
      </c>
      <c r="CF19" s="242">
        <v>95766.3</v>
      </c>
      <c r="CG19" s="242">
        <v>94896.4</v>
      </c>
      <c r="CH19" s="67">
        <v>104685.7</v>
      </c>
      <c r="CI19" s="67">
        <v>104395.4</v>
      </c>
      <c r="CJ19" s="67">
        <v>104821.2</v>
      </c>
      <c r="CK19" s="67">
        <v>105357.9</v>
      </c>
      <c r="CL19" s="67">
        <v>102640.94</v>
      </c>
      <c r="CM19" s="67">
        <v>101740.9</v>
      </c>
      <c r="CN19" s="67">
        <v>102199</v>
      </c>
      <c r="CO19" s="287">
        <v>102801.4</v>
      </c>
      <c r="CP19" s="67">
        <v>111644.4</v>
      </c>
      <c r="CQ19" s="67">
        <v>111360.6</v>
      </c>
      <c r="CR19" s="67">
        <v>111320.4</v>
      </c>
      <c r="CS19" s="67">
        <v>112952.2</v>
      </c>
      <c r="CT19" s="67">
        <v>113288.6</v>
      </c>
      <c r="CU19" s="67">
        <v>114241.4</v>
      </c>
      <c r="CV19" s="67">
        <v>128437.4</v>
      </c>
      <c r="CW19" s="67">
        <v>128339.2</v>
      </c>
      <c r="CX19" s="67">
        <v>127379</v>
      </c>
    </row>
    <row r="20" spans="1:102" ht="19.5" customHeight="1">
      <c r="A20" s="99" t="s">
        <v>17</v>
      </c>
      <c r="B20" s="78">
        <v>0</v>
      </c>
      <c r="C20" s="45">
        <v>0</v>
      </c>
      <c r="D20" s="46">
        <v>0</v>
      </c>
      <c r="E20" s="47">
        <v>0</v>
      </c>
      <c r="F20" s="48">
        <v>0</v>
      </c>
      <c r="G20" s="49">
        <v>0</v>
      </c>
      <c r="H20" s="48">
        <v>0</v>
      </c>
      <c r="I20" s="48">
        <v>268.6</v>
      </c>
      <c r="J20" s="49">
        <v>243.5</v>
      </c>
      <c r="K20" s="47">
        <v>79.2</v>
      </c>
      <c r="L20" s="50">
        <v>63</v>
      </c>
      <c r="M20" s="51">
        <v>57.8</v>
      </c>
      <c r="N20" s="51">
        <v>52.75</v>
      </c>
      <c r="O20" s="50">
        <v>47.39</v>
      </c>
      <c r="P20" s="50">
        <v>43.6</v>
      </c>
      <c r="Q20" s="52">
        <v>39.9</v>
      </c>
      <c r="R20" s="53">
        <v>36.4</v>
      </c>
      <c r="S20" s="54">
        <v>33.9</v>
      </c>
      <c r="T20" s="50">
        <v>27.5</v>
      </c>
      <c r="U20" s="50">
        <v>20.9</v>
      </c>
      <c r="V20" s="52">
        <v>18.4</v>
      </c>
      <c r="W20" s="55">
        <v>13.3</v>
      </c>
      <c r="X20" s="51">
        <v>8.34</v>
      </c>
      <c r="Y20" s="272">
        <v>0</v>
      </c>
      <c r="Z20" s="55">
        <v>0</v>
      </c>
      <c r="AA20" s="50">
        <v>0</v>
      </c>
      <c r="AB20" s="50">
        <v>0</v>
      </c>
      <c r="AC20" s="50">
        <v>0</v>
      </c>
      <c r="AD20" s="50">
        <v>0</v>
      </c>
      <c r="AE20" s="64">
        <v>0</v>
      </c>
      <c r="AF20" s="50">
        <v>0</v>
      </c>
      <c r="AG20" s="77">
        <v>0</v>
      </c>
      <c r="AH20" s="51">
        <v>0</v>
      </c>
      <c r="AI20" s="55">
        <v>0</v>
      </c>
      <c r="AJ20" s="66">
        <v>0</v>
      </c>
      <c r="AK20" s="51">
        <v>0</v>
      </c>
      <c r="AL20" s="51">
        <v>0</v>
      </c>
      <c r="AM20" s="51">
        <v>0</v>
      </c>
      <c r="AN20" s="51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258">
        <v>0</v>
      </c>
      <c r="AW20" s="67">
        <v>0</v>
      </c>
      <c r="AX20" s="67">
        <v>0</v>
      </c>
      <c r="AY20" s="67">
        <v>0</v>
      </c>
      <c r="AZ20" s="67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258">
        <v>0</v>
      </c>
      <c r="BI20" s="67">
        <v>0</v>
      </c>
      <c r="BJ20" s="67">
        <v>0</v>
      </c>
      <c r="BK20" s="67">
        <v>0</v>
      </c>
      <c r="BL20" s="67">
        <v>0</v>
      </c>
      <c r="BM20" s="55">
        <v>0</v>
      </c>
      <c r="BN20" s="193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242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242">
        <v>0</v>
      </c>
      <c r="CG20" s="242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28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</row>
    <row r="21" spans="1:102" ht="18.75" customHeight="1">
      <c r="A21" s="43" t="s">
        <v>18</v>
      </c>
      <c r="B21" s="78">
        <v>16393.5</v>
      </c>
      <c r="C21" s="79">
        <v>20870.7</v>
      </c>
      <c r="D21" s="80">
        <v>26885.4</v>
      </c>
      <c r="E21" s="79">
        <v>30348.6</v>
      </c>
      <c r="F21" s="79">
        <v>33278.2</v>
      </c>
      <c r="G21" s="79">
        <v>35162.1</v>
      </c>
      <c r="H21" s="79">
        <v>29042</v>
      </c>
      <c r="I21" s="81">
        <v>29853</v>
      </c>
      <c r="J21" s="79">
        <v>32710.7</v>
      </c>
      <c r="K21" s="82">
        <v>52608.2</v>
      </c>
      <c r="L21" s="50">
        <v>73832.2</v>
      </c>
      <c r="M21" s="51">
        <v>72665.6</v>
      </c>
      <c r="N21" s="51">
        <v>72370.6565</v>
      </c>
      <c r="O21" s="50">
        <v>74926.880801</v>
      </c>
      <c r="P21" s="50">
        <v>74001.10496</v>
      </c>
      <c r="Q21" s="52">
        <v>74801.61608</v>
      </c>
      <c r="R21" s="53">
        <v>74830.11962</v>
      </c>
      <c r="S21" s="54">
        <v>69239.04657</v>
      </c>
      <c r="T21" s="50">
        <v>68798.66888</v>
      </c>
      <c r="U21" s="50">
        <v>71840</v>
      </c>
      <c r="V21" s="52">
        <v>71000.2</v>
      </c>
      <c r="W21" s="55">
        <v>72469.02509</v>
      </c>
      <c r="X21" s="51">
        <v>75418.5</v>
      </c>
      <c r="Y21" s="272">
        <v>78572.3</v>
      </c>
      <c r="Z21" s="55">
        <v>78738</v>
      </c>
      <c r="AA21" s="50">
        <v>76735.4</v>
      </c>
      <c r="AB21" s="50">
        <v>77165.9</v>
      </c>
      <c r="AC21" s="50">
        <v>75469.9</v>
      </c>
      <c r="AD21" s="50">
        <v>77086</v>
      </c>
      <c r="AE21" s="64">
        <v>75772.2</v>
      </c>
      <c r="AF21" s="50">
        <v>77060.1</v>
      </c>
      <c r="AG21" s="77">
        <v>76550</v>
      </c>
      <c r="AH21" s="51">
        <v>79208.5</v>
      </c>
      <c r="AI21" s="55">
        <v>78481.35</v>
      </c>
      <c r="AJ21" s="66">
        <v>78746.4</v>
      </c>
      <c r="AK21" s="51">
        <v>78866.2</v>
      </c>
      <c r="AL21" s="51">
        <v>77894.7</v>
      </c>
      <c r="AM21" s="51">
        <v>76373</v>
      </c>
      <c r="AN21" s="51">
        <v>76192.6</v>
      </c>
      <c r="AO21" s="67">
        <v>74834.1</v>
      </c>
      <c r="AP21" s="67">
        <v>75292.8</v>
      </c>
      <c r="AQ21" s="67">
        <v>75781.73</v>
      </c>
      <c r="AR21" s="67">
        <v>74937.6</v>
      </c>
      <c r="AS21" s="67">
        <v>74387.7</v>
      </c>
      <c r="AT21" s="67">
        <v>74535.1</v>
      </c>
      <c r="AU21" s="67">
        <v>73811.65</v>
      </c>
      <c r="AV21" s="258">
        <v>74989.5</v>
      </c>
      <c r="AW21" s="67">
        <v>67694.7</v>
      </c>
      <c r="AX21" s="67">
        <v>66906.3</v>
      </c>
      <c r="AY21" s="67">
        <v>65290.4</v>
      </c>
      <c r="AZ21" s="67">
        <v>65117.9</v>
      </c>
      <c r="BA21" s="68">
        <v>65461</v>
      </c>
      <c r="BB21" s="68">
        <v>69022.6</v>
      </c>
      <c r="BC21" s="68">
        <v>68407.1</v>
      </c>
      <c r="BD21" s="68">
        <v>68624.2</v>
      </c>
      <c r="BE21" s="68">
        <v>68358</v>
      </c>
      <c r="BF21" s="68">
        <v>68781.5</v>
      </c>
      <c r="BG21" s="68">
        <v>69055.9</v>
      </c>
      <c r="BH21" s="258">
        <v>70624.1</v>
      </c>
      <c r="BI21" s="67">
        <v>70550.1</v>
      </c>
      <c r="BJ21" s="67">
        <v>69661.8</v>
      </c>
      <c r="BK21" s="67">
        <v>69540.7</v>
      </c>
      <c r="BL21" s="67">
        <v>69787.7</v>
      </c>
      <c r="BM21" s="55">
        <v>70360.74</v>
      </c>
      <c r="BN21" s="193">
        <v>70591.5</v>
      </c>
      <c r="BO21" s="67">
        <v>69610.4</v>
      </c>
      <c r="BP21" s="67">
        <v>69170.9</v>
      </c>
      <c r="BQ21" s="67">
        <v>68827.4</v>
      </c>
      <c r="BR21" s="67">
        <v>69517</v>
      </c>
      <c r="BS21" s="67">
        <v>69519.2</v>
      </c>
      <c r="BT21" s="242">
        <v>69011.2</v>
      </c>
      <c r="BU21" s="67">
        <v>68533.5</v>
      </c>
      <c r="BV21" s="67">
        <v>68504.5</v>
      </c>
      <c r="BW21" s="67">
        <v>68776.9</v>
      </c>
      <c r="BX21" s="67">
        <v>68346.9</v>
      </c>
      <c r="BY21" s="67">
        <v>69017.4</v>
      </c>
      <c r="BZ21" s="67">
        <v>68879</v>
      </c>
      <c r="CA21" s="67">
        <v>68828.8</v>
      </c>
      <c r="CB21" s="67">
        <v>71211.1</v>
      </c>
      <c r="CC21" s="67">
        <v>66028.5</v>
      </c>
      <c r="CD21" s="67">
        <v>65818</v>
      </c>
      <c r="CE21" s="67">
        <v>66099.6</v>
      </c>
      <c r="CF21" s="242">
        <v>65043.5</v>
      </c>
      <c r="CG21" s="242">
        <v>64895.3</v>
      </c>
      <c r="CH21" s="67">
        <v>64763.5</v>
      </c>
      <c r="CI21" s="67">
        <v>59210.9</v>
      </c>
      <c r="CJ21" s="67">
        <v>59169.4</v>
      </c>
      <c r="CK21" s="67">
        <v>59166.5</v>
      </c>
      <c r="CL21" s="67">
        <v>59059.64</v>
      </c>
      <c r="CM21" s="67">
        <v>58491.2</v>
      </c>
      <c r="CN21" s="67">
        <v>58452.4</v>
      </c>
      <c r="CO21" s="287">
        <v>57689.54</v>
      </c>
      <c r="CP21" s="67">
        <v>57579.6</v>
      </c>
      <c r="CQ21" s="67">
        <v>57379.6</v>
      </c>
      <c r="CR21" s="67">
        <v>57407</v>
      </c>
      <c r="CS21" s="67">
        <v>58034.2</v>
      </c>
      <c r="CT21" s="67">
        <v>57857.7</v>
      </c>
      <c r="CU21" s="67">
        <v>57924.9</v>
      </c>
      <c r="CV21" s="67">
        <v>52929.5</v>
      </c>
      <c r="CW21" s="67">
        <v>52791.2</v>
      </c>
      <c r="CX21" s="67">
        <v>52514.3</v>
      </c>
    </row>
    <row r="22" spans="1:102" ht="19.5" customHeight="1">
      <c r="A22" s="99" t="s">
        <v>19</v>
      </c>
      <c r="B22" s="78">
        <v>1384</v>
      </c>
      <c r="C22" s="45">
        <v>1641.8</v>
      </c>
      <c r="D22" s="46">
        <v>2171.4</v>
      </c>
      <c r="E22" s="47">
        <v>3613.8</v>
      </c>
      <c r="F22" s="48">
        <v>3629.5</v>
      </c>
      <c r="G22" s="49">
        <v>8044.6</v>
      </c>
      <c r="H22" s="48">
        <v>19839.2</v>
      </c>
      <c r="I22" s="48">
        <v>29407.8</v>
      </c>
      <c r="J22" s="49">
        <v>39594.7</v>
      </c>
      <c r="K22" s="47">
        <v>28134.4</v>
      </c>
      <c r="L22" s="50">
        <v>31436.7</v>
      </c>
      <c r="M22" s="51">
        <v>26005.7</v>
      </c>
      <c r="N22" s="51">
        <v>26847.4</v>
      </c>
      <c r="O22" s="50">
        <v>30373.396</v>
      </c>
      <c r="P22" s="50">
        <v>25953.3</v>
      </c>
      <c r="Q22" s="52">
        <v>25518.2</v>
      </c>
      <c r="R22" s="53">
        <v>30485.03</v>
      </c>
      <c r="S22" s="54">
        <v>25781.5</v>
      </c>
      <c r="T22" s="50">
        <v>28981.7</v>
      </c>
      <c r="U22" s="50">
        <v>29426.2</v>
      </c>
      <c r="V22" s="52">
        <v>31299.2</v>
      </c>
      <c r="W22" s="55">
        <v>30665.7</v>
      </c>
      <c r="X22" s="101">
        <v>31845.1</v>
      </c>
      <c r="Y22" s="275">
        <v>16165.6</v>
      </c>
      <c r="Z22" s="16">
        <v>10942</v>
      </c>
      <c r="AA22" s="102">
        <v>14289</v>
      </c>
      <c r="AB22" s="102">
        <v>18333.5</v>
      </c>
      <c r="AC22" s="102">
        <v>19652.1</v>
      </c>
      <c r="AD22" s="50">
        <v>15466.2</v>
      </c>
      <c r="AE22" s="83">
        <v>16431.6</v>
      </c>
      <c r="AF22" s="50">
        <v>16393.4</v>
      </c>
      <c r="AG22" s="65">
        <v>16751.9</v>
      </c>
      <c r="AH22" s="51">
        <v>17523.3</v>
      </c>
      <c r="AI22" s="55">
        <v>16728</v>
      </c>
      <c r="AJ22" s="66">
        <v>19155.8</v>
      </c>
      <c r="AK22" s="51">
        <v>12471.5</v>
      </c>
      <c r="AL22" s="51">
        <v>15411.8</v>
      </c>
      <c r="AM22" s="51">
        <v>13976.3</v>
      </c>
      <c r="AN22" s="51">
        <v>17088.1</v>
      </c>
      <c r="AO22" s="67">
        <v>16055.1</v>
      </c>
      <c r="AP22" s="67">
        <v>14161.5</v>
      </c>
      <c r="AQ22" s="67">
        <v>13177.9</v>
      </c>
      <c r="AR22" s="67">
        <v>11862.2</v>
      </c>
      <c r="AS22" s="67">
        <v>8644.3</v>
      </c>
      <c r="AT22" s="67">
        <v>12566.2</v>
      </c>
      <c r="AU22" s="67">
        <v>13931.85</v>
      </c>
      <c r="AV22" s="258">
        <v>24919.6</v>
      </c>
      <c r="AW22" s="67">
        <v>16271.7</v>
      </c>
      <c r="AX22" s="67">
        <v>16351.9</v>
      </c>
      <c r="AY22" s="67">
        <v>17045.2</v>
      </c>
      <c r="AZ22" s="67">
        <v>18679.4</v>
      </c>
      <c r="BA22" s="68">
        <v>18228.2</v>
      </c>
      <c r="BB22" s="68">
        <v>22414.8</v>
      </c>
      <c r="BC22" s="68">
        <v>21429.7</v>
      </c>
      <c r="BD22" s="68">
        <v>21236.3</v>
      </c>
      <c r="BE22" s="68">
        <v>21560.1</v>
      </c>
      <c r="BF22" s="68">
        <v>20321.9</v>
      </c>
      <c r="BG22" s="68">
        <v>21524.7</v>
      </c>
      <c r="BH22" s="258">
        <v>35519.2</v>
      </c>
      <c r="BI22" s="67">
        <v>28775.9</v>
      </c>
      <c r="BJ22" s="67">
        <v>30639</v>
      </c>
      <c r="BK22" s="67">
        <v>27877.5</v>
      </c>
      <c r="BL22" s="67">
        <v>28062.6</v>
      </c>
      <c r="BM22" s="55">
        <v>34623.8</v>
      </c>
      <c r="BN22" s="196">
        <v>33791.7</v>
      </c>
      <c r="BO22" s="67">
        <v>32076.5</v>
      </c>
      <c r="BP22" s="67">
        <v>30138.3</v>
      </c>
      <c r="BQ22" s="67">
        <v>29664.2</v>
      </c>
      <c r="BR22" s="67">
        <v>25546.9</v>
      </c>
      <c r="BS22" s="67">
        <v>29309.2</v>
      </c>
      <c r="BT22" s="242">
        <v>41631.3</v>
      </c>
      <c r="BU22" s="67">
        <v>36012.6</v>
      </c>
      <c r="BV22" s="67">
        <v>37700.7</v>
      </c>
      <c r="BW22" s="67">
        <v>38780.7</v>
      </c>
      <c r="BX22" s="67">
        <v>36135.5</v>
      </c>
      <c r="BY22" s="67">
        <v>36291.3</v>
      </c>
      <c r="BZ22" s="67">
        <v>39370.5</v>
      </c>
      <c r="CA22" s="67">
        <v>36791.6</v>
      </c>
      <c r="CB22" s="67">
        <v>34583.7</v>
      </c>
      <c r="CC22" s="67">
        <v>33140.8</v>
      </c>
      <c r="CD22" s="67">
        <v>37569.1</v>
      </c>
      <c r="CE22" s="67">
        <v>41629.9</v>
      </c>
      <c r="CF22" s="242">
        <v>52434.4</v>
      </c>
      <c r="CG22" s="242">
        <v>43153.3</v>
      </c>
      <c r="CH22" s="67">
        <v>50589.3</v>
      </c>
      <c r="CI22" s="67">
        <v>47511.2</v>
      </c>
      <c r="CJ22" s="67">
        <v>46379.4</v>
      </c>
      <c r="CK22" s="67">
        <v>46457.1</v>
      </c>
      <c r="CL22" s="67">
        <v>51432.2</v>
      </c>
      <c r="CM22" s="67">
        <v>47037.2</v>
      </c>
      <c r="CN22" s="67">
        <v>47303.4</v>
      </c>
      <c r="CO22" s="287">
        <v>45657.14</v>
      </c>
      <c r="CP22" s="67">
        <v>44745.2</v>
      </c>
      <c r="CQ22" s="67">
        <v>58451.7</v>
      </c>
      <c r="CR22" s="67">
        <v>53846.9</v>
      </c>
      <c r="CS22" s="67">
        <v>45984.4</v>
      </c>
      <c r="CT22" s="67">
        <v>52376.2</v>
      </c>
      <c r="CU22" s="67">
        <v>52214.5</v>
      </c>
      <c r="CV22" s="67">
        <v>59518.9</v>
      </c>
      <c r="CW22" s="67">
        <v>53727.5</v>
      </c>
      <c r="CX22" s="67">
        <v>52763.9</v>
      </c>
    </row>
    <row r="23" spans="1:102" ht="15">
      <c r="A23" s="90" t="s">
        <v>20</v>
      </c>
      <c r="B23" s="103">
        <f aca="true" t="shared" si="45" ref="B23:X23">SUM(B24:B39)</f>
        <v>25285.539999999997</v>
      </c>
      <c r="C23" s="104">
        <f t="shared" si="45"/>
        <v>33776.359149</v>
      </c>
      <c r="D23" s="105">
        <f t="shared" si="45"/>
        <v>43793.793999999994</v>
      </c>
      <c r="E23" s="104">
        <f t="shared" si="45"/>
        <v>51136.57999999999</v>
      </c>
      <c r="F23" s="104">
        <f t="shared" si="45"/>
        <v>55147.34</v>
      </c>
      <c r="G23" s="104">
        <f t="shared" si="45"/>
        <v>56381.83</v>
      </c>
      <c r="H23" s="104">
        <f t="shared" si="45"/>
        <v>59868.54558</v>
      </c>
      <c r="I23" s="106">
        <f t="shared" si="45"/>
        <v>76149.63</v>
      </c>
      <c r="J23" s="104">
        <f t="shared" si="45"/>
        <v>100556.44</v>
      </c>
      <c r="K23" s="105">
        <f t="shared" si="45"/>
        <v>136493.84000000003</v>
      </c>
      <c r="L23" s="106">
        <f t="shared" si="45"/>
        <v>182510.28999999998</v>
      </c>
      <c r="M23" s="104">
        <f t="shared" si="45"/>
        <v>178723</v>
      </c>
      <c r="N23" s="104">
        <f t="shared" si="45"/>
        <v>181494.61649999995</v>
      </c>
      <c r="O23" s="106">
        <f t="shared" si="45"/>
        <v>187476.459519</v>
      </c>
      <c r="P23" s="104">
        <f t="shared" si="45"/>
        <v>184007.58495999998</v>
      </c>
      <c r="Q23" s="104">
        <f t="shared" si="45"/>
        <v>189121.47608</v>
      </c>
      <c r="R23" s="106">
        <f t="shared" si="45"/>
        <v>202388.04461999997</v>
      </c>
      <c r="S23" s="106">
        <f t="shared" si="45"/>
        <v>192954.63157000003</v>
      </c>
      <c r="T23" s="106">
        <f t="shared" si="45"/>
        <v>195975.12888</v>
      </c>
      <c r="U23" s="106">
        <f t="shared" si="45"/>
        <v>200634.5</v>
      </c>
      <c r="V23" s="104">
        <f t="shared" si="45"/>
        <v>199580.80933</v>
      </c>
      <c r="W23" s="106">
        <f t="shared" si="45"/>
        <v>201455.63009</v>
      </c>
      <c r="X23" s="104">
        <f t="shared" si="45"/>
        <v>210388.63039999997</v>
      </c>
      <c r="Y23" s="276">
        <v>226841.9</v>
      </c>
      <c r="Z23" s="108">
        <f aca="true" t="shared" si="46" ref="Z23:BI23">SUM(Z24:Z39)</f>
        <v>226822.26</v>
      </c>
      <c r="AA23" s="106">
        <f t="shared" si="46"/>
        <v>235942.1</v>
      </c>
      <c r="AB23" s="106">
        <f t="shared" si="46"/>
        <v>238452.69999999998</v>
      </c>
      <c r="AC23" s="106">
        <f t="shared" si="46"/>
        <v>238986.58000000002</v>
      </c>
      <c r="AD23" s="106">
        <f t="shared" si="46"/>
        <v>239716.77000000002</v>
      </c>
      <c r="AE23" s="107">
        <f t="shared" si="46"/>
        <v>237881.69999999998</v>
      </c>
      <c r="AF23" s="106">
        <f t="shared" si="46"/>
        <v>238895.50000000003</v>
      </c>
      <c r="AG23" s="105">
        <f t="shared" si="46"/>
        <v>246545.90000000002</v>
      </c>
      <c r="AH23" s="104">
        <f t="shared" si="46"/>
        <v>251459.30000000002</v>
      </c>
      <c r="AI23" s="108">
        <f t="shared" si="46"/>
        <v>246739.20000000004</v>
      </c>
      <c r="AJ23" s="103">
        <f t="shared" si="46"/>
        <v>252179.80000000002</v>
      </c>
      <c r="AK23" s="104">
        <f t="shared" si="46"/>
        <v>255987.17999999996</v>
      </c>
      <c r="AL23" s="104">
        <f t="shared" si="46"/>
        <v>259457.68000000002</v>
      </c>
      <c r="AM23" s="104">
        <f t="shared" si="46"/>
        <v>254545.90000000002</v>
      </c>
      <c r="AN23" s="104">
        <f t="shared" si="46"/>
        <v>261542.1</v>
      </c>
      <c r="AO23" s="109">
        <f t="shared" si="46"/>
        <v>255580.18</v>
      </c>
      <c r="AP23" s="109">
        <f t="shared" si="46"/>
        <v>257060.69999999998</v>
      </c>
      <c r="AQ23" s="109">
        <f t="shared" si="46"/>
        <v>255082.86000000002</v>
      </c>
      <c r="AR23" s="109">
        <f t="shared" si="46"/>
        <v>255443.59999999998</v>
      </c>
      <c r="AS23" s="109">
        <f t="shared" si="46"/>
        <v>253959.19999999998</v>
      </c>
      <c r="AT23" s="109">
        <f t="shared" si="46"/>
        <v>261718.58000000002</v>
      </c>
      <c r="AU23" s="109">
        <f t="shared" si="46"/>
        <v>265653.6</v>
      </c>
      <c r="AV23" s="262">
        <f t="shared" si="46"/>
        <v>280763.8</v>
      </c>
      <c r="AW23" s="109">
        <f t="shared" si="46"/>
        <v>268239.70000000007</v>
      </c>
      <c r="AX23" s="109">
        <f t="shared" si="46"/>
        <v>272404.3</v>
      </c>
      <c r="AY23" s="109">
        <f t="shared" si="46"/>
        <v>268935.10000000003</v>
      </c>
      <c r="AZ23" s="109">
        <f t="shared" si="46"/>
        <v>265250.9</v>
      </c>
      <c r="BA23" s="110">
        <f t="shared" si="46"/>
        <v>266229.1</v>
      </c>
      <c r="BB23" s="110">
        <f t="shared" si="46"/>
        <v>273834.7</v>
      </c>
      <c r="BC23" s="110">
        <f t="shared" si="46"/>
        <v>268640.80000000005</v>
      </c>
      <c r="BD23" s="110">
        <f t="shared" si="46"/>
        <v>270339.89999999997</v>
      </c>
      <c r="BE23" s="110">
        <f t="shared" si="46"/>
        <v>272131.39999999997</v>
      </c>
      <c r="BF23" s="110">
        <f t="shared" si="46"/>
        <v>277077.80000000005</v>
      </c>
      <c r="BG23" s="110">
        <f t="shared" si="46"/>
        <v>281841.00000000006</v>
      </c>
      <c r="BH23" s="262">
        <f t="shared" si="46"/>
        <v>299142.6</v>
      </c>
      <c r="BI23" s="109">
        <f t="shared" si="46"/>
        <v>290246.0999999999</v>
      </c>
      <c r="BJ23" s="109">
        <f aca="true" t="shared" si="47" ref="BJ23:BO23">SUM(BJ24:BJ39)</f>
        <v>294597.55</v>
      </c>
      <c r="BK23" s="109">
        <f t="shared" si="47"/>
        <v>293582.37</v>
      </c>
      <c r="BL23" s="109">
        <f t="shared" si="47"/>
        <v>297926.19999999995</v>
      </c>
      <c r="BM23" s="109">
        <f t="shared" si="47"/>
        <v>306275.48</v>
      </c>
      <c r="BN23" s="190">
        <f t="shared" si="47"/>
        <v>302421.1</v>
      </c>
      <c r="BO23" s="109">
        <f t="shared" si="47"/>
        <v>300994.8</v>
      </c>
      <c r="BP23" s="109">
        <f aca="true" t="shared" si="48" ref="BP23:BU23">SUM(BP24:BP39)</f>
        <v>296362.8</v>
      </c>
      <c r="BQ23" s="109">
        <f t="shared" si="48"/>
        <v>298090.60000000003</v>
      </c>
      <c r="BR23" s="109">
        <f t="shared" si="48"/>
        <v>303627.5</v>
      </c>
      <c r="BS23" s="109">
        <f t="shared" si="48"/>
        <v>309343.80000000005</v>
      </c>
      <c r="BT23" s="246">
        <f t="shared" si="48"/>
        <v>323039.3</v>
      </c>
      <c r="BU23" s="109">
        <f t="shared" si="48"/>
        <v>317877.3</v>
      </c>
      <c r="BV23" s="109">
        <f aca="true" t="shared" si="49" ref="BV23:CB23">SUM(BV24:BV39)</f>
        <v>322256.7</v>
      </c>
      <c r="BW23" s="109">
        <f t="shared" si="49"/>
        <v>326781</v>
      </c>
      <c r="BX23" s="109">
        <f t="shared" si="49"/>
        <v>326123.8</v>
      </c>
      <c r="BY23" s="109">
        <f t="shared" si="49"/>
        <v>337023.2</v>
      </c>
      <c r="BZ23" s="109">
        <f t="shared" si="49"/>
        <v>336593.39999999997</v>
      </c>
      <c r="CA23" s="109">
        <f t="shared" si="49"/>
        <v>330993.9</v>
      </c>
      <c r="CB23" s="109">
        <f t="shared" si="49"/>
        <v>333090.50000000006</v>
      </c>
      <c r="CC23" s="109">
        <f aca="true" t="shared" si="50" ref="CC23:CH23">SUM(CC24:CC39)</f>
        <v>328871.2</v>
      </c>
      <c r="CD23" s="109">
        <f t="shared" si="50"/>
        <v>337195.7</v>
      </c>
      <c r="CE23" s="109">
        <f t="shared" si="50"/>
        <v>342564.54999999993</v>
      </c>
      <c r="CF23" s="246">
        <f t="shared" si="50"/>
        <v>353015.85000000003</v>
      </c>
      <c r="CG23" s="246">
        <f t="shared" si="50"/>
        <v>337601.7</v>
      </c>
      <c r="CH23" s="109">
        <f t="shared" si="50"/>
        <v>357455</v>
      </c>
      <c r="CI23" s="109">
        <f>SUM(CI24:CI39)</f>
        <v>350874.70000000007</v>
      </c>
      <c r="CJ23" s="109">
        <f>SUM(CJ24:CJ39)</f>
        <v>352000.15</v>
      </c>
      <c r="CK23" s="109">
        <f>SUM(CK24:CK39)</f>
        <v>353484.1</v>
      </c>
      <c r="CL23" s="109">
        <f>SUM(CL24:CL39)</f>
        <v>357744.4</v>
      </c>
      <c r="CM23" s="109">
        <f>SUM(CM24:CM39)</f>
        <v>355123</v>
      </c>
      <c r="CN23" s="109">
        <v>357931.30000000005</v>
      </c>
      <c r="CO23" s="291">
        <f>SUM(CO24:CO39)</f>
        <v>360343.08</v>
      </c>
      <c r="CP23" s="109">
        <f>SUM(CP24:CP39)</f>
        <v>373820.6638524</v>
      </c>
      <c r="CQ23" s="109">
        <f>SUM(CQ24:CQ39)</f>
        <v>383834.6</v>
      </c>
      <c r="CR23" s="109">
        <v>384965</v>
      </c>
      <c r="CS23" s="109">
        <f>SUM(CS24:CS39)</f>
        <v>377126.1</v>
      </c>
      <c r="CT23" s="109">
        <v>380164.10000000003</v>
      </c>
      <c r="CU23" s="109">
        <f>SUM(CU24:CU39)</f>
        <v>383534.00000000006</v>
      </c>
      <c r="CV23" s="109">
        <f>SUM(CV24:CV39)</f>
        <v>394737.39999999997</v>
      </c>
      <c r="CW23" s="109">
        <f>SUM(CW24:CW39)</f>
        <v>395296.1</v>
      </c>
      <c r="CX23" s="109">
        <f>SUM(CX24:CX39)</f>
        <v>392572.8</v>
      </c>
    </row>
    <row r="24" spans="1:102" ht="15">
      <c r="A24" s="100" t="s">
        <v>21</v>
      </c>
      <c r="B24" s="111">
        <v>6422.7</v>
      </c>
      <c r="C24" s="49">
        <v>7781.8</v>
      </c>
      <c r="D24" s="46">
        <v>9233.6</v>
      </c>
      <c r="E24" s="47">
        <v>9245.2</v>
      </c>
      <c r="F24" s="48">
        <v>11180.2</v>
      </c>
      <c r="G24" s="49">
        <v>12908</v>
      </c>
      <c r="H24" s="48">
        <v>24461.8</v>
      </c>
      <c r="I24" s="48">
        <f>40473.6+26.6</f>
        <v>40500.2</v>
      </c>
      <c r="J24" s="49">
        <v>60024.77</v>
      </c>
      <c r="K24" s="47">
        <v>64302</v>
      </c>
      <c r="L24" s="50">
        <v>82628.67</v>
      </c>
      <c r="M24" s="51">
        <v>79925.5</v>
      </c>
      <c r="N24" s="51">
        <v>83993.0015</v>
      </c>
      <c r="O24" s="50">
        <v>87143.764697</v>
      </c>
      <c r="P24" s="50">
        <v>85449.9924</v>
      </c>
      <c r="Q24" s="52">
        <v>85312.60184</v>
      </c>
      <c r="R24" s="53">
        <v>91364.77415</v>
      </c>
      <c r="S24" s="112">
        <v>90617.74542</v>
      </c>
      <c r="T24" s="50">
        <v>94187.45136</v>
      </c>
      <c r="U24" s="50">
        <v>94783.4</v>
      </c>
      <c r="V24" s="52">
        <v>94796.39115</v>
      </c>
      <c r="W24" s="55">
        <v>94936.44005</v>
      </c>
      <c r="X24" s="55">
        <v>101241.2</v>
      </c>
      <c r="Y24" s="272">
        <v>99439.1</v>
      </c>
      <c r="Z24" s="55">
        <v>99783.7</v>
      </c>
      <c r="AA24" s="50">
        <v>103672.5</v>
      </c>
      <c r="AB24" s="50">
        <v>104869.8</v>
      </c>
      <c r="AC24" s="50">
        <v>105997.4</v>
      </c>
      <c r="AD24" s="50">
        <v>103298.7</v>
      </c>
      <c r="AE24" s="56">
        <v>102195.9</v>
      </c>
      <c r="AF24" s="57">
        <v>103428.65</v>
      </c>
      <c r="AG24" s="58">
        <v>104796.1</v>
      </c>
      <c r="AH24" s="59">
        <v>104757.9</v>
      </c>
      <c r="AI24" s="60">
        <v>106384.8</v>
      </c>
      <c r="AJ24" s="61">
        <v>111762.1</v>
      </c>
      <c r="AK24" s="59">
        <v>107289.34</v>
      </c>
      <c r="AL24" s="59">
        <v>111294.7</v>
      </c>
      <c r="AM24" s="59">
        <v>107760.25</v>
      </c>
      <c r="AN24" s="59">
        <v>109668.3</v>
      </c>
      <c r="AO24" s="62">
        <v>111480.64</v>
      </c>
      <c r="AP24" s="62">
        <v>113040.8</v>
      </c>
      <c r="AQ24" s="62">
        <v>109895.3</v>
      </c>
      <c r="AR24" s="62">
        <v>109823.7</v>
      </c>
      <c r="AS24" s="62">
        <v>108147.2</v>
      </c>
      <c r="AT24" s="62">
        <v>112347.6</v>
      </c>
      <c r="AU24" s="62">
        <v>113790.1</v>
      </c>
      <c r="AV24" s="257">
        <v>126434.7</v>
      </c>
      <c r="AW24" s="62">
        <v>120235.2</v>
      </c>
      <c r="AX24" s="62">
        <v>125380.6</v>
      </c>
      <c r="AY24" s="62">
        <v>127456.2</v>
      </c>
      <c r="AZ24" s="62">
        <v>125140.2</v>
      </c>
      <c r="BA24" s="63">
        <v>125273.1</v>
      </c>
      <c r="BB24" s="63">
        <v>129325.2</v>
      </c>
      <c r="BC24" s="63">
        <v>129716.6</v>
      </c>
      <c r="BD24" s="63">
        <v>131689.7</v>
      </c>
      <c r="BE24" s="63">
        <v>134182.4</v>
      </c>
      <c r="BF24" s="63">
        <v>129449.3</v>
      </c>
      <c r="BG24" s="63">
        <v>133011.3</v>
      </c>
      <c r="BH24" s="257">
        <v>148073.45</v>
      </c>
      <c r="BI24" s="62">
        <v>139167.8</v>
      </c>
      <c r="BJ24" s="62">
        <v>145002</v>
      </c>
      <c r="BK24" s="62">
        <v>144221.7</v>
      </c>
      <c r="BL24" s="62">
        <v>148564.6</v>
      </c>
      <c r="BM24" s="62">
        <v>151075.9</v>
      </c>
      <c r="BN24" s="62">
        <v>153976.4</v>
      </c>
      <c r="BO24" s="62">
        <v>154562.5</v>
      </c>
      <c r="BP24" s="62">
        <v>150866.7</v>
      </c>
      <c r="BQ24" s="62">
        <v>152881.6</v>
      </c>
      <c r="BR24" s="62">
        <v>152088.4</v>
      </c>
      <c r="BS24" s="62">
        <v>156837.9</v>
      </c>
      <c r="BT24" s="241">
        <v>170139.4</v>
      </c>
      <c r="BU24" s="62">
        <v>166844.4</v>
      </c>
      <c r="BV24" s="62">
        <v>170931.1</v>
      </c>
      <c r="BW24" s="62">
        <v>174820.7</v>
      </c>
      <c r="BX24" s="62">
        <v>174533.3</v>
      </c>
      <c r="BY24" s="62">
        <v>177133.5</v>
      </c>
      <c r="BZ24" s="62">
        <v>177778.8</v>
      </c>
      <c r="CA24" s="62">
        <v>172960.4</v>
      </c>
      <c r="CB24" s="62">
        <v>172361.8</v>
      </c>
      <c r="CC24" s="62">
        <v>173113.3</v>
      </c>
      <c r="CD24" s="62">
        <v>176755.4</v>
      </c>
      <c r="CE24" s="62">
        <v>181404.3</v>
      </c>
      <c r="CF24" s="241">
        <v>192055</v>
      </c>
      <c r="CG24" s="241">
        <v>177838.1</v>
      </c>
      <c r="CH24" s="62">
        <v>186872.5</v>
      </c>
      <c r="CI24" s="62">
        <v>186266.1</v>
      </c>
      <c r="CJ24" s="62">
        <v>187149.4</v>
      </c>
      <c r="CK24" s="62">
        <v>188330.6</v>
      </c>
      <c r="CL24" s="62">
        <v>195561.6</v>
      </c>
      <c r="CM24" s="62">
        <v>194096.5</v>
      </c>
      <c r="CN24" s="62">
        <v>196549</v>
      </c>
      <c r="CO24" s="286">
        <v>199184.74</v>
      </c>
      <c r="CP24" s="62">
        <v>204000.06240839997</v>
      </c>
      <c r="CQ24" s="62">
        <v>214584.8</v>
      </c>
      <c r="CR24" s="62">
        <v>214671.6</v>
      </c>
      <c r="CS24" s="62">
        <v>208415.7</v>
      </c>
      <c r="CT24" s="62">
        <v>211325.9</v>
      </c>
      <c r="CU24" s="62">
        <v>213761.9</v>
      </c>
      <c r="CV24" s="62">
        <v>215785.6</v>
      </c>
      <c r="CW24" s="62">
        <v>214680.5</v>
      </c>
      <c r="CX24" s="62">
        <v>212375.5</v>
      </c>
    </row>
    <row r="25" spans="1:102" ht="15">
      <c r="A25" s="100" t="s">
        <v>22</v>
      </c>
      <c r="B25" s="44">
        <f>(6269.8+3677)+998.4</f>
        <v>10945.199999999999</v>
      </c>
      <c r="C25" s="45">
        <f>5187.6+7520+1395.8</f>
        <v>14103.4</v>
      </c>
      <c r="D25" s="46">
        <f>8103.14+6547.9+2527.6</f>
        <v>17178.64</v>
      </c>
      <c r="E25" s="47">
        <f>6714.65+7577.9+1982.86</f>
        <v>16275.41</v>
      </c>
      <c r="F25" s="48">
        <f>6520.9+7562.15+3061.7</f>
        <v>17144.75</v>
      </c>
      <c r="G25" s="49">
        <f>6653.49+7494.9+3178.8</f>
        <v>17327.19</v>
      </c>
      <c r="H25" s="48">
        <f>5047.16+4330.73+1358.3</f>
        <v>10736.189999999999</v>
      </c>
      <c r="I25" s="48">
        <f>1243.9+8060.91+2.6</f>
        <v>9307.41</v>
      </c>
      <c r="J25" s="49">
        <f>1417.3+7810.21</f>
        <v>9227.51</v>
      </c>
      <c r="K25" s="47">
        <f>1484.3+7144.76</f>
        <v>8629.06</v>
      </c>
      <c r="L25" s="50">
        <v>8458.15</v>
      </c>
      <c r="M25" s="51">
        <v>8158.9</v>
      </c>
      <c r="N25" s="51">
        <v>7959.06</v>
      </c>
      <c r="O25" s="50">
        <v>7510.389712</v>
      </c>
      <c r="P25" s="50">
        <v>6940.63368</v>
      </c>
      <c r="Q25" s="52">
        <v>7118.91072</v>
      </c>
      <c r="R25" s="53">
        <v>5999.8783</v>
      </c>
      <c r="S25" s="112">
        <v>6073.53728</v>
      </c>
      <c r="T25" s="50">
        <v>5918.40072</v>
      </c>
      <c r="U25" s="50">
        <v>6400.7</v>
      </c>
      <c r="V25" s="52">
        <v>5837.01078</v>
      </c>
      <c r="W25" s="55">
        <v>6041.60924</v>
      </c>
      <c r="X25" s="55">
        <v>6091.65</v>
      </c>
      <c r="Y25" s="272">
        <v>12661.8</v>
      </c>
      <c r="Z25" s="55">
        <v>12176.2</v>
      </c>
      <c r="AA25" s="50">
        <v>17501.9</v>
      </c>
      <c r="AB25" s="50">
        <v>17950.6</v>
      </c>
      <c r="AC25" s="50">
        <v>17075.3</v>
      </c>
      <c r="AD25" s="50">
        <v>17497.9</v>
      </c>
      <c r="AE25" s="64">
        <v>16968.6</v>
      </c>
      <c r="AF25" s="50">
        <v>17075.25</v>
      </c>
      <c r="AG25" s="77">
        <v>16756.6</v>
      </c>
      <c r="AH25" s="51">
        <v>16370.5</v>
      </c>
      <c r="AI25" s="55">
        <v>16330.4</v>
      </c>
      <c r="AJ25" s="66">
        <v>16269.2</v>
      </c>
      <c r="AK25" s="51">
        <v>23189.74</v>
      </c>
      <c r="AL25" s="51">
        <v>22710.3</v>
      </c>
      <c r="AM25" s="51">
        <v>22362.65</v>
      </c>
      <c r="AN25" s="51">
        <v>22187.6</v>
      </c>
      <c r="AO25" s="67">
        <v>22161.4</v>
      </c>
      <c r="AP25" s="67">
        <v>22013</v>
      </c>
      <c r="AQ25" s="67">
        <v>22589.24</v>
      </c>
      <c r="AR25" s="67">
        <v>22848.6</v>
      </c>
      <c r="AS25" s="67">
        <v>23797.5</v>
      </c>
      <c r="AT25" s="67">
        <v>23758.5</v>
      </c>
      <c r="AU25" s="67">
        <v>23916.7</v>
      </c>
      <c r="AV25" s="258">
        <v>24796.2</v>
      </c>
      <c r="AW25" s="67">
        <v>26294.8</v>
      </c>
      <c r="AX25" s="67">
        <v>26467.9</v>
      </c>
      <c r="AY25" s="67">
        <v>27441.6</v>
      </c>
      <c r="AZ25" s="67">
        <v>26258</v>
      </c>
      <c r="BA25" s="68">
        <v>26711.4</v>
      </c>
      <c r="BB25" s="68">
        <v>26385.2</v>
      </c>
      <c r="BC25" s="68">
        <v>26482</v>
      </c>
      <c r="BD25" s="68">
        <v>25976.1</v>
      </c>
      <c r="BE25" s="68">
        <v>25759</v>
      </c>
      <c r="BF25" s="68">
        <v>26246.9</v>
      </c>
      <c r="BG25" s="68">
        <v>27211</v>
      </c>
      <c r="BH25" s="258">
        <v>26858.85</v>
      </c>
      <c r="BI25" s="67">
        <v>26850.9</v>
      </c>
      <c r="BJ25" s="67">
        <v>26433.93</v>
      </c>
      <c r="BK25" s="67">
        <v>25273.2</v>
      </c>
      <c r="BL25" s="67">
        <v>25126.9</v>
      </c>
      <c r="BM25" s="67">
        <v>25729.6</v>
      </c>
      <c r="BN25" s="67">
        <v>25854.4</v>
      </c>
      <c r="BO25" s="67">
        <v>25555.6</v>
      </c>
      <c r="BP25" s="67">
        <v>25325.3</v>
      </c>
      <c r="BQ25" s="67">
        <v>25157.7</v>
      </c>
      <c r="BR25" s="67">
        <v>25906.4</v>
      </c>
      <c r="BS25" s="67">
        <v>26697.1</v>
      </c>
      <c r="BT25" s="242">
        <v>26930.6</v>
      </c>
      <c r="BU25" s="67">
        <v>26267.1</v>
      </c>
      <c r="BV25" s="67">
        <v>26546.4</v>
      </c>
      <c r="BW25" s="67">
        <v>26471.5</v>
      </c>
      <c r="BX25" s="67">
        <v>25679.8</v>
      </c>
      <c r="BY25" s="67">
        <v>25170.4</v>
      </c>
      <c r="BZ25" s="67">
        <v>24556</v>
      </c>
      <c r="CA25" s="67">
        <v>23893.4</v>
      </c>
      <c r="CB25" s="67">
        <v>23698.5</v>
      </c>
      <c r="CC25" s="67">
        <v>23826.6</v>
      </c>
      <c r="CD25" s="67">
        <v>24099.4</v>
      </c>
      <c r="CE25" s="67">
        <v>23847.9</v>
      </c>
      <c r="CF25" s="242">
        <v>23667.6</v>
      </c>
      <c r="CG25" s="242">
        <v>22745.1</v>
      </c>
      <c r="CH25" s="67">
        <v>23113.9</v>
      </c>
      <c r="CI25" s="67">
        <v>22837.7</v>
      </c>
      <c r="CJ25" s="67">
        <v>23193.9</v>
      </c>
      <c r="CK25" s="67">
        <v>23923</v>
      </c>
      <c r="CL25" s="67">
        <v>27976.2</v>
      </c>
      <c r="CM25" s="67">
        <v>27570.6</v>
      </c>
      <c r="CN25" s="67">
        <v>27739.2</v>
      </c>
      <c r="CO25" s="287">
        <v>27957.1</v>
      </c>
      <c r="CP25" s="67">
        <v>28549.960050800004</v>
      </c>
      <c r="CQ25" s="67">
        <v>28424</v>
      </c>
      <c r="CR25" s="67">
        <v>28225.3</v>
      </c>
      <c r="CS25" s="67">
        <v>28572.8</v>
      </c>
      <c r="CT25" s="67">
        <v>28750.1</v>
      </c>
      <c r="CU25" s="67">
        <v>29253.7</v>
      </c>
      <c r="CV25" s="67">
        <v>29202.3</v>
      </c>
      <c r="CW25" s="67">
        <v>29281.7</v>
      </c>
      <c r="CX25" s="67">
        <v>29584.1</v>
      </c>
    </row>
    <row r="26" spans="1:102" ht="15">
      <c r="A26" s="100" t="s">
        <v>23</v>
      </c>
      <c r="B26" s="44">
        <f>1297.1+503.45+31.8</f>
        <v>1832.35</v>
      </c>
      <c r="C26" s="45">
        <f>476.5+172.83+7.8</f>
        <v>657.13</v>
      </c>
      <c r="D26" s="46">
        <v>0</v>
      </c>
      <c r="E26" s="47">
        <v>0</v>
      </c>
      <c r="F26" s="48">
        <v>0</v>
      </c>
      <c r="G26" s="49">
        <v>0</v>
      </c>
      <c r="H26" s="48">
        <v>0</v>
      </c>
      <c r="I26" s="48">
        <v>0</v>
      </c>
      <c r="J26" s="49">
        <v>0</v>
      </c>
      <c r="K26" s="47">
        <v>0</v>
      </c>
      <c r="L26" s="50">
        <v>0</v>
      </c>
      <c r="M26" s="51">
        <v>0</v>
      </c>
      <c r="N26" s="51">
        <v>0</v>
      </c>
      <c r="O26" s="50">
        <v>0</v>
      </c>
      <c r="P26" s="50">
        <v>0</v>
      </c>
      <c r="Q26" s="52">
        <v>0</v>
      </c>
      <c r="R26" s="53">
        <v>0</v>
      </c>
      <c r="S26" s="112">
        <v>0</v>
      </c>
      <c r="T26" s="50">
        <v>0</v>
      </c>
      <c r="U26" s="50">
        <v>0</v>
      </c>
      <c r="V26" s="52">
        <v>0</v>
      </c>
      <c r="W26" s="55">
        <v>0</v>
      </c>
      <c r="X26" s="55">
        <v>0</v>
      </c>
      <c r="Y26" s="272">
        <v>0</v>
      </c>
      <c r="Z26" s="55">
        <v>0</v>
      </c>
      <c r="AA26" s="50">
        <v>0</v>
      </c>
      <c r="AB26" s="50">
        <v>0</v>
      </c>
      <c r="AC26" s="50">
        <v>0</v>
      </c>
      <c r="AD26" s="50">
        <v>0</v>
      </c>
      <c r="AE26" s="64">
        <v>0</v>
      </c>
      <c r="AF26" s="50">
        <v>0</v>
      </c>
      <c r="AG26" s="77">
        <v>0</v>
      </c>
      <c r="AH26" s="51">
        <v>0</v>
      </c>
      <c r="AI26" s="55">
        <v>0</v>
      </c>
      <c r="AJ26" s="66">
        <v>0</v>
      </c>
      <c r="AK26" s="51">
        <v>0</v>
      </c>
      <c r="AL26" s="51">
        <v>0</v>
      </c>
      <c r="AM26" s="51">
        <v>0</v>
      </c>
      <c r="AN26" s="51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258">
        <v>0</v>
      </c>
      <c r="AW26" s="67">
        <v>0</v>
      </c>
      <c r="AX26" s="67">
        <v>0</v>
      </c>
      <c r="AY26" s="67">
        <v>0</v>
      </c>
      <c r="AZ26" s="67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258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242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242">
        <v>0</v>
      </c>
      <c r="CG26" s="242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28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</row>
    <row r="27" spans="1:102" ht="15">
      <c r="A27" s="100" t="s">
        <v>24</v>
      </c>
      <c r="B27" s="44">
        <f>611.3+2091.7</f>
        <v>2703</v>
      </c>
      <c r="C27" s="45">
        <f>1615.48+6563.6</f>
        <v>8179.08</v>
      </c>
      <c r="D27" s="46">
        <f>11023.5+3644.3</f>
        <v>14667.8</v>
      </c>
      <c r="E27" s="47">
        <f>16152.2+4987.9+282.1</f>
        <v>21422.199999999997</v>
      </c>
      <c r="F27" s="48">
        <f>16598.76+6083.3+169.5</f>
        <v>22851.559999999998</v>
      </c>
      <c r="G27" s="49">
        <f>6694.27+15240.31+41</f>
        <v>21975.58</v>
      </c>
      <c r="H27" s="48">
        <f>6871.14+14451.04+7.1</f>
        <v>21329.28</v>
      </c>
      <c r="I27" s="48">
        <f>156.9+23201.91</f>
        <v>23358.81</v>
      </c>
      <c r="J27" s="49">
        <f>168.6+27934.15</f>
        <v>28102.75</v>
      </c>
      <c r="K27" s="47">
        <f>18697.3+37948.8</f>
        <v>56646.100000000006</v>
      </c>
      <c r="L27" s="50">
        <v>78118.8</v>
      </c>
      <c r="M27" s="51">
        <v>77640.8</v>
      </c>
      <c r="N27" s="51">
        <v>76707.037</v>
      </c>
      <c r="O27" s="50">
        <v>80600.383676</v>
      </c>
      <c r="P27" s="50">
        <v>79782.0492</v>
      </c>
      <c r="Q27" s="52">
        <v>84468.90696</v>
      </c>
      <c r="R27" s="53">
        <v>92541.26537</v>
      </c>
      <c r="S27" s="112">
        <v>83541.17678</v>
      </c>
      <c r="T27" s="50">
        <v>83285.3328</v>
      </c>
      <c r="U27" s="50">
        <v>86020.9</v>
      </c>
      <c r="V27" s="52">
        <v>85918.72393</v>
      </c>
      <c r="W27" s="55">
        <v>86912.56996</v>
      </c>
      <c r="X27" s="55">
        <v>89349.75</v>
      </c>
      <c r="Y27" s="272">
        <v>101873.7</v>
      </c>
      <c r="Z27" s="55">
        <v>102601.5</v>
      </c>
      <c r="AA27" s="50">
        <v>102358.8</v>
      </c>
      <c r="AB27" s="50">
        <v>103485.5</v>
      </c>
      <c r="AC27" s="50">
        <v>104268.3</v>
      </c>
      <c r="AD27" s="50">
        <v>108307.7</v>
      </c>
      <c r="AE27" s="64">
        <v>108310.9</v>
      </c>
      <c r="AF27" s="50">
        <v>108603.8</v>
      </c>
      <c r="AG27" s="77">
        <v>115796.7</v>
      </c>
      <c r="AH27" s="51">
        <v>121291.6</v>
      </c>
      <c r="AI27" s="55">
        <v>115709.7</v>
      </c>
      <c r="AJ27" s="66">
        <v>116459.1</v>
      </c>
      <c r="AK27" s="51">
        <v>117686.4</v>
      </c>
      <c r="AL27" s="51">
        <v>118414.1</v>
      </c>
      <c r="AM27" s="51">
        <v>118033.5</v>
      </c>
      <c r="AN27" s="51">
        <v>123288</v>
      </c>
      <c r="AO27" s="67">
        <v>116190.14</v>
      </c>
      <c r="AP27" s="67">
        <v>116857.5</v>
      </c>
      <c r="AQ27" s="67">
        <v>117375.34</v>
      </c>
      <c r="AR27" s="67">
        <v>118223.6</v>
      </c>
      <c r="AS27" s="67">
        <v>118003.3</v>
      </c>
      <c r="AT27" s="67">
        <v>121636.8</v>
      </c>
      <c r="AU27" s="67">
        <v>124768.1</v>
      </c>
      <c r="AV27" s="258">
        <v>126304.5</v>
      </c>
      <c r="AW27" s="67">
        <v>118330.4</v>
      </c>
      <c r="AX27" s="67">
        <v>117945.8</v>
      </c>
      <c r="AY27" s="67">
        <v>111385.7</v>
      </c>
      <c r="AZ27" s="67">
        <v>111252</v>
      </c>
      <c r="BA27" s="68">
        <v>111690.1</v>
      </c>
      <c r="BB27" s="68">
        <v>115622.3</v>
      </c>
      <c r="BC27" s="68">
        <v>109985.3</v>
      </c>
      <c r="BD27" s="68">
        <v>110235.2</v>
      </c>
      <c r="BE27" s="68">
        <v>109780.2</v>
      </c>
      <c r="BF27" s="68">
        <v>118895.6</v>
      </c>
      <c r="BG27" s="68">
        <v>119084.1</v>
      </c>
      <c r="BH27" s="258">
        <v>121707.9</v>
      </c>
      <c r="BI27" s="67">
        <v>121743</v>
      </c>
      <c r="BJ27" s="67">
        <v>120571.74</v>
      </c>
      <c r="BK27" s="67">
        <v>121611.2</v>
      </c>
      <c r="BL27" s="67">
        <v>121645</v>
      </c>
      <c r="BM27" s="67">
        <v>126913.3</v>
      </c>
      <c r="BN27" s="67">
        <v>119887.3</v>
      </c>
      <c r="BO27" s="67">
        <v>118224.8</v>
      </c>
      <c r="BP27" s="67">
        <v>117542.3</v>
      </c>
      <c r="BQ27" s="67">
        <v>117436.5</v>
      </c>
      <c r="BR27" s="67">
        <v>123021.2</v>
      </c>
      <c r="BS27" s="67">
        <v>123268.4</v>
      </c>
      <c r="BT27" s="242">
        <v>123498.2</v>
      </c>
      <c r="BU27" s="67">
        <v>122293.7</v>
      </c>
      <c r="BV27" s="67">
        <v>122267.8</v>
      </c>
      <c r="BW27" s="67">
        <v>123030.8</v>
      </c>
      <c r="BX27" s="67">
        <v>123517.1</v>
      </c>
      <c r="BY27" s="67">
        <v>132349.6</v>
      </c>
      <c r="BZ27" s="67">
        <v>131984.4</v>
      </c>
      <c r="CA27" s="67">
        <v>131888.1</v>
      </c>
      <c r="CB27" s="67">
        <v>134812.1</v>
      </c>
      <c r="CC27" s="67">
        <v>129757</v>
      </c>
      <c r="CD27" s="67">
        <v>134160.8</v>
      </c>
      <c r="CE27" s="67">
        <v>135127.35</v>
      </c>
      <c r="CF27" s="242">
        <v>135165.7</v>
      </c>
      <c r="CG27" s="242">
        <v>134904.7</v>
      </c>
      <c r="CH27" s="67">
        <v>145314.1</v>
      </c>
      <c r="CI27" s="67">
        <v>139667.5</v>
      </c>
      <c r="CJ27" s="67">
        <v>139566.6</v>
      </c>
      <c r="CK27" s="67">
        <v>139070.9</v>
      </c>
      <c r="CL27" s="67">
        <v>132102.9</v>
      </c>
      <c r="CM27" s="67">
        <v>131391.7</v>
      </c>
      <c r="CN27" s="67">
        <v>131566.1</v>
      </c>
      <c r="CO27" s="287">
        <v>131188.84</v>
      </c>
      <c r="CP27" s="67">
        <v>139209.94139320002</v>
      </c>
      <c r="CQ27" s="67">
        <v>138783.8</v>
      </c>
      <c r="CR27" s="67">
        <v>140026.4</v>
      </c>
      <c r="CS27" s="67">
        <v>138036.6</v>
      </c>
      <c r="CT27" s="67">
        <v>138024.5</v>
      </c>
      <c r="CU27" s="67">
        <v>138458.2</v>
      </c>
      <c r="CV27" s="67">
        <v>147698.8</v>
      </c>
      <c r="CW27" s="67">
        <v>149240.4</v>
      </c>
      <c r="CX27" s="67">
        <v>148577.4</v>
      </c>
    </row>
    <row r="28" spans="1:102" ht="15">
      <c r="A28" s="100" t="s">
        <v>25</v>
      </c>
      <c r="B28" s="44">
        <f>919.7+230.7</f>
        <v>1150.4</v>
      </c>
      <c r="C28" s="45">
        <f>1098.95+122.1</f>
        <v>1221.05</v>
      </c>
      <c r="D28" s="46">
        <v>1425.81</v>
      </c>
      <c r="E28" s="47">
        <v>1951.5</v>
      </c>
      <c r="F28" s="48">
        <v>1287.6</v>
      </c>
      <c r="G28" s="49">
        <v>810.9</v>
      </c>
      <c r="H28" s="48">
        <v>331.5</v>
      </c>
      <c r="I28" s="48">
        <v>35.43</v>
      </c>
      <c r="J28" s="49">
        <f>35.96-15.5</f>
        <v>20.46</v>
      </c>
      <c r="K28" s="47">
        <v>3984.67</v>
      </c>
      <c r="L28" s="50">
        <v>9645.9</v>
      </c>
      <c r="M28" s="51">
        <v>9450.1</v>
      </c>
      <c r="N28" s="51">
        <v>9357.3</v>
      </c>
      <c r="O28" s="50">
        <v>8978.20043</v>
      </c>
      <c r="P28" s="50">
        <v>8682.95384</v>
      </c>
      <c r="Q28" s="52">
        <v>8957.38296</v>
      </c>
      <c r="R28" s="53">
        <v>9126.17914</v>
      </c>
      <c r="S28" s="112">
        <v>9269.71983</v>
      </c>
      <c r="T28" s="50">
        <v>9179.52264</v>
      </c>
      <c r="U28" s="50">
        <v>9754</v>
      </c>
      <c r="V28" s="52">
        <v>9493.13579</v>
      </c>
      <c r="W28" s="55">
        <v>9878.9991</v>
      </c>
      <c r="X28" s="55">
        <v>9977</v>
      </c>
      <c r="Y28" s="272">
        <v>9522.3</v>
      </c>
      <c r="Z28" s="55">
        <v>9167.9</v>
      </c>
      <c r="AA28" s="50">
        <v>9285.4</v>
      </c>
      <c r="AB28" s="50">
        <v>8946.5</v>
      </c>
      <c r="AC28" s="50">
        <v>8644.4</v>
      </c>
      <c r="AD28" s="50">
        <v>7643.7</v>
      </c>
      <c r="AE28" s="64">
        <v>7477.1</v>
      </c>
      <c r="AF28" s="50">
        <v>6867.6</v>
      </c>
      <c r="AG28" s="77">
        <v>6311.5</v>
      </c>
      <c r="AH28" s="51">
        <v>6215.7</v>
      </c>
      <c r="AI28" s="55">
        <v>5557.7</v>
      </c>
      <c r="AJ28" s="66">
        <v>5047.7</v>
      </c>
      <c r="AK28" s="51">
        <v>5103.7</v>
      </c>
      <c r="AL28" s="51">
        <v>4371.7</v>
      </c>
      <c r="AM28" s="51">
        <v>3786.6</v>
      </c>
      <c r="AN28" s="51">
        <v>3783.2</v>
      </c>
      <c r="AO28" s="67">
        <v>3098.8</v>
      </c>
      <c r="AP28" s="67">
        <v>2559.4</v>
      </c>
      <c r="AQ28" s="67">
        <v>2604.4</v>
      </c>
      <c r="AR28" s="67">
        <v>1927.9</v>
      </c>
      <c r="AS28" s="67">
        <v>1412</v>
      </c>
      <c r="AT28" s="67">
        <v>1410.2</v>
      </c>
      <c r="AU28" s="67">
        <v>706.6</v>
      </c>
      <c r="AV28" s="258">
        <v>743.6</v>
      </c>
      <c r="AW28" s="67">
        <v>750.8</v>
      </c>
      <c r="AX28" s="67">
        <v>0</v>
      </c>
      <c r="AY28" s="67">
        <v>0</v>
      </c>
      <c r="AZ28" s="67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258">
        <v>14.3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242">
        <v>9.6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0</v>
      </c>
      <c r="CE28" s="67">
        <v>0</v>
      </c>
      <c r="CF28" s="242">
        <v>0</v>
      </c>
      <c r="CG28" s="242">
        <v>0</v>
      </c>
      <c r="CH28" s="67">
        <v>0</v>
      </c>
      <c r="CI28" s="67">
        <v>0</v>
      </c>
      <c r="CJ28" s="67">
        <v>0</v>
      </c>
      <c r="CK28" s="67">
        <v>0</v>
      </c>
      <c r="CL28" s="67">
        <v>0</v>
      </c>
      <c r="CM28" s="67">
        <v>0</v>
      </c>
      <c r="CN28" s="67">
        <v>0</v>
      </c>
      <c r="CO28" s="287">
        <v>0</v>
      </c>
      <c r="CP28" s="67">
        <v>0</v>
      </c>
      <c r="CQ28" s="67">
        <v>0</v>
      </c>
      <c r="CR28" s="67">
        <v>0</v>
      </c>
      <c r="CS28" s="67">
        <v>0</v>
      </c>
      <c r="CT28" s="67">
        <v>0</v>
      </c>
      <c r="CU28" s="67">
        <v>0</v>
      </c>
      <c r="CV28" s="67">
        <v>0</v>
      </c>
      <c r="CW28" s="67">
        <v>0</v>
      </c>
      <c r="CX28" s="67">
        <v>0</v>
      </c>
    </row>
    <row r="29" spans="1:102" ht="15">
      <c r="A29" s="100" t="s">
        <v>26</v>
      </c>
      <c r="B29" s="44">
        <f>159.9+84.97</f>
        <v>244.87</v>
      </c>
      <c r="C29" s="45">
        <f>60.367+404.82</f>
        <v>465.187</v>
      </c>
      <c r="D29" s="46">
        <f>71.9+519.6</f>
        <v>591.5</v>
      </c>
      <c r="E29" s="47">
        <f>409.5+188.96</f>
        <v>598.46</v>
      </c>
      <c r="F29" s="48">
        <f>174.9+376.5</f>
        <v>551.4</v>
      </c>
      <c r="G29" s="49">
        <f>149.9+319.4</f>
        <v>469.29999999999995</v>
      </c>
      <c r="H29" s="48">
        <f>121.91+240.22</f>
        <v>362.13</v>
      </c>
      <c r="I29" s="48">
        <f>127.31+200.04</f>
        <v>327.35</v>
      </c>
      <c r="J29" s="49">
        <f>193.57+113.21</f>
        <v>306.78</v>
      </c>
      <c r="K29" s="47">
        <f>78.54+157</f>
        <v>235.54000000000002</v>
      </c>
      <c r="L29" s="50">
        <v>180.01</v>
      </c>
      <c r="M29" s="51">
        <v>190.6</v>
      </c>
      <c r="N29" s="51">
        <v>182.5095</v>
      </c>
      <c r="O29" s="50">
        <v>173.738443</v>
      </c>
      <c r="P29" s="50">
        <v>173.56944</v>
      </c>
      <c r="Q29" s="52">
        <v>168.9528</v>
      </c>
      <c r="R29" s="53">
        <v>176.13856</v>
      </c>
      <c r="S29" s="112">
        <v>186.5732</v>
      </c>
      <c r="T29" s="50">
        <v>173.55708</v>
      </c>
      <c r="U29" s="50">
        <v>169.7</v>
      </c>
      <c r="V29" s="52">
        <v>154.80994</v>
      </c>
      <c r="W29" s="55">
        <v>138.01863</v>
      </c>
      <c r="X29" s="55">
        <v>138.2304</v>
      </c>
      <c r="Y29" s="272">
        <v>101.2</v>
      </c>
      <c r="Z29" s="55">
        <v>104.7</v>
      </c>
      <c r="AA29" s="50">
        <v>105.7</v>
      </c>
      <c r="AB29" s="50">
        <v>107.3</v>
      </c>
      <c r="AC29" s="50">
        <v>104.2</v>
      </c>
      <c r="AD29" s="50">
        <v>90.1</v>
      </c>
      <c r="AE29" s="64">
        <v>89.4</v>
      </c>
      <c r="AF29" s="50">
        <v>89.6</v>
      </c>
      <c r="AG29" s="77">
        <v>91</v>
      </c>
      <c r="AH29" s="51">
        <v>89.5</v>
      </c>
      <c r="AI29" s="55">
        <v>89.7</v>
      </c>
      <c r="AJ29" s="66">
        <v>82.3</v>
      </c>
      <c r="AK29" s="51">
        <v>82.3</v>
      </c>
      <c r="AL29" s="51">
        <v>82.8</v>
      </c>
      <c r="AM29" s="51">
        <v>82</v>
      </c>
      <c r="AN29" s="51">
        <v>81.9</v>
      </c>
      <c r="AO29" s="67">
        <v>80.9</v>
      </c>
      <c r="AP29" s="67">
        <v>71.9</v>
      </c>
      <c r="AQ29" s="67">
        <v>72</v>
      </c>
      <c r="AR29" s="67">
        <v>72.8</v>
      </c>
      <c r="AS29" s="67">
        <v>72.8</v>
      </c>
      <c r="AT29" s="67">
        <v>72.8</v>
      </c>
      <c r="AU29" s="67">
        <v>64.2</v>
      </c>
      <c r="AV29" s="258">
        <v>65</v>
      </c>
      <c r="AW29" s="67">
        <v>73.7</v>
      </c>
      <c r="AX29" s="67">
        <v>72.3</v>
      </c>
      <c r="AY29" s="67">
        <v>73.2</v>
      </c>
      <c r="AZ29" s="67">
        <v>72.9</v>
      </c>
      <c r="BA29" s="68">
        <v>63.5</v>
      </c>
      <c r="BB29" s="68">
        <v>64</v>
      </c>
      <c r="BC29" s="68">
        <v>61.7</v>
      </c>
      <c r="BD29" s="68">
        <v>60.7</v>
      </c>
      <c r="BE29" s="68">
        <v>60.1</v>
      </c>
      <c r="BF29" s="68">
        <v>60.3</v>
      </c>
      <c r="BG29" s="68">
        <v>50.2</v>
      </c>
      <c r="BH29" s="258">
        <v>51.9</v>
      </c>
      <c r="BI29" s="67">
        <v>50.8</v>
      </c>
      <c r="BJ29" s="67">
        <v>50.94</v>
      </c>
      <c r="BK29" s="67">
        <v>51</v>
      </c>
      <c r="BL29" s="67">
        <v>50.6</v>
      </c>
      <c r="BM29" s="67">
        <v>40.6</v>
      </c>
      <c r="BN29" s="67">
        <v>41.1</v>
      </c>
      <c r="BO29" s="67">
        <v>40.6</v>
      </c>
      <c r="BP29" s="67">
        <v>40.1</v>
      </c>
      <c r="BQ29" s="67">
        <v>40.5</v>
      </c>
      <c r="BR29" s="67">
        <v>41</v>
      </c>
      <c r="BS29" s="67">
        <v>30.7</v>
      </c>
      <c r="BT29" s="242">
        <v>31</v>
      </c>
      <c r="BU29" s="67">
        <v>31.1</v>
      </c>
      <c r="BV29" s="67">
        <v>31.2</v>
      </c>
      <c r="BW29" s="67">
        <v>31.4</v>
      </c>
      <c r="BX29" s="67">
        <v>30.8</v>
      </c>
      <c r="BY29" s="67">
        <v>24.7</v>
      </c>
      <c r="BZ29" s="67">
        <v>23.7</v>
      </c>
      <c r="CA29" s="67">
        <v>23.7</v>
      </c>
      <c r="CB29" s="67">
        <v>23.4</v>
      </c>
      <c r="CC29" s="67">
        <v>23.5</v>
      </c>
      <c r="CD29" s="67">
        <v>23.5</v>
      </c>
      <c r="CE29" s="67">
        <v>17.6</v>
      </c>
      <c r="CF29" s="242">
        <v>17.7</v>
      </c>
      <c r="CG29" s="242">
        <v>17.7</v>
      </c>
      <c r="CH29" s="67">
        <v>17.7</v>
      </c>
      <c r="CI29" s="67">
        <v>17.7</v>
      </c>
      <c r="CJ29" s="67">
        <v>17.2</v>
      </c>
      <c r="CK29" s="67">
        <v>12</v>
      </c>
      <c r="CL29" s="67">
        <v>12</v>
      </c>
      <c r="CM29" s="67">
        <v>11.8</v>
      </c>
      <c r="CN29" s="67">
        <v>12.2</v>
      </c>
      <c r="CO29" s="287">
        <v>12.2</v>
      </c>
      <c r="CP29" s="67">
        <v>12.1</v>
      </c>
      <c r="CQ29" s="67">
        <v>6.2</v>
      </c>
      <c r="CR29" s="67">
        <v>6.2</v>
      </c>
      <c r="CS29" s="67">
        <v>6.2</v>
      </c>
      <c r="CT29" s="67">
        <v>6.3</v>
      </c>
      <c r="CU29" s="67">
        <v>6.4</v>
      </c>
      <c r="CV29" s="67">
        <v>6.3</v>
      </c>
      <c r="CW29" s="67">
        <v>0</v>
      </c>
      <c r="CX29" s="67">
        <v>0</v>
      </c>
    </row>
    <row r="30" spans="1:102" ht="15">
      <c r="A30" s="100" t="s">
        <v>27</v>
      </c>
      <c r="B30" s="44">
        <f>403.11+128.5</f>
        <v>531.61</v>
      </c>
      <c r="C30" s="45">
        <f>286.43+137.43</f>
        <v>423.86</v>
      </c>
      <c r="D30" s="46">
        <v>0</v>
      </c>
      <c r="E30" s="47">
        <v>0</v>
      </c>
      <c r="F30" s="48">
        <v>0</v>
      </c>
      <c r="G30" s="49">
        <v>0</v>
      </c>
      <c r="H30" s="48">
        <v>0</v>
      </c>
      <c r="I30" s="48">
        <v>0</v>
      </c>
      <c r="J30" s="49">
        <v>0</v>
      </c>
      <c r="K30" s="47">
        <v>0</v>
      </c>
      <c r="L30" s="50">
        <v>0</v>
      </c>
      <c r="M30" s="51">
        <v>0</v>
      </c>
      <c r="N30" s="51">
        <v>0</v>
      </c>
      <c r="O30" s="50">
        <v>0</v>
      </c>
      <c r="P30" s="50">
        <v>0</v>
      </c>
      <c r="Q30" s="113">
        <v>0</v>
      </c>
      <c r="R30" s="53">
        <v>0</v>
      </c>
      <c r="S30" s="112">
        <v>0</v>
      </c>
      <c r="T30" s="50">
        <v>0</v>
      </c>
      <c r="U30" s="50">
        <v>0</v>
      </c>
      <c r="V30" s="52">
        <v>0</v>
      </c>
      <c r="W30" s="55">
        <v>0</v>
      </c>
      <c r="X30" s="55">
        <v>0</v>
      </c>
      <c r="Y30" s="272">
        <v>0</v>
      </c>
      <c r="Z30" s="55">
        <v>0</v>
      </c>
      <c r="AA30" s="50">
        <v>0</v>
      </c>
      <c r="AB30" s="50">
        <v>0</v>
      </c>
      <c r="AC30" s="50">
        <v>0</v>
      </c>
      <c r="AD30" s="50">
        <v>0</v>
      </c>
      <c r="AE30" s="64">
        <v>0</v>
      </c>
      <c r="AF30" s="50">
        <v>0</v>
      </c>
      <c r="AG30" s="77">
        <v>0</v>
      </c>
      <c r="AH30" s="51">
        <v>0</v>
      </c>
      <c r="AI30" s="55">
        <v>0</v>
      </c>
      <c r="AJ30" s="66">
        <v>0</v>
      </c>
      <c r="AK30" s="51">
        <v>0</v>
      </c>
      <c r="AL30" s="51">
        <v>0</v>
      </c>
      <c r="AM30" s="51">
        <v>0</v>
      </c>
      <c r="AN30" s="51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258">
        <v>0</v>
      </c>
      <c r="AW30" s="67">
        <v>0</v>
      </c>
      <c r="AX30" s="67">
        <v>0</v>
      </c>
      <c r="AY30" s="67">
        <v>0</v>
      </c>
      <c r="AZ30" s="67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258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242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242">
        <v>0</v>
      </c>
      <c r="CG30" s="242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287">
        <v>0</v>
      </c>
      <c r="CP30" s="67">
        <v>0</v>
      </c>
      <c r="CQ30" s="67">
        <v>0</v>
      </c>
      <c r="CR30" s="67">
        <v>0</v>
      </c>
      <c r="CS30" s="67">
        <v>0</v>
      </c>
      <c r="CT30" s="67">
        <v>0</v>
      </c>
      <c r="CU30" s="67">
        <v>0</v>
      </c>
      <c r="CV30" s="67">
        <v>0</v>
      </c>
      <c r="CW30" s="67">
        <v>0</v>
      </c>
      <c r="CX30" s="67">
        <v>0</v>
      </c>
    </row>
    <row r="31" spans="1:102" ht="15">
      <c r="A31" s="100" t="s">
        <v>28</v>
      </c>
      <c r="B31" s="44">
        <v>0</v>
      </c>
      <c r="C31" s="45">
        <v>0</v>
      </c>
      <c r="D31" s="46">
        <v>0</v>
      </c>
      <c r="E31" s="47">
        <v>415.34</v>
      </c>
      <c r="F31" s="48">
        <v>562.8</v>
      </c>
      <c r="G31" s="49">
        <v>844.25</v>
      </c>
      <c r="H31" s="48">
        <v>802.81558</v>
      </c>
      <c r="I31" s="48">
        <v>887.3</v>
      </c>
      <c r="J31" s="49">
        <v>714.93</v>
      </c>
      <c r="K31" s="47">
        <v>623.19</v>
      </c>
      <c r="L31" s="50">
        <v>806.8</v>
      </c>
      <c r="M31" s="51">
        <v>783.3</v>
      </c>
      <c r="N31" s="51">
        <v>783.99</v>
      </c>
      <c r="O31" s="50">
        <v>750.00043</v>
      </c>
      <c r="P31" s="50">
        <v>724.42832</v>
      </c>
      <c r="Q31" s="52">
        <v>739.27152</v>
      </c>
      <c r="R31" s="53">
        <v>727.84179</v>
      </c>
      <c r="S31" s="112">
        <v>750.5331</v>
      </c>
      <c r="T31" s="50">
        <v>718.29828</v>
      </c>
      <c r="U31" s="50">
        <v>741.4</v>
      </c>
      <c r="V31" s="52">
        <v>744.64446</v>
      </c>
      <c r="W31" s="55">
        <v>762.80328</v>
      </c>
      <c r="X31" s="55">
        <v>750.8</v>
      </c>
      <c r="Y31" s="272">
        <v>700.4</v>
      </c>
      <c r="Z31" s="55">
        <v>669.73</v>
      </c>
      <c r="AA31" s="50">
        <v>676</v>
      </c>
      <c r="AB31" s="50">
        <v>703.4</v>
      </c>
      <c r="AC31" s="50">
        <v>679.34</v>
      </c>
      <c r="AD31" s="50">
        <v>641.23</v>
      </c>
      <c r="AE31" s="64">
        <v>633.4</v>
      </c>
      <c r="AF31" s="50">
        <v>625.6</v>
      </c>
      <c r="AG31" s="77">
        <v>630.7</v>
      </c>
      <c r="AH31" s="51">
        <v>610.5</v>
      </c>
      <c r="AI31" s="55">
        <v>606.2</v>
      </c>
      <c r="AJ31" s="66">
        <v>567.9</v>
      </c>
      <c r="AK31" s="51">
        <v>551.4</v>
      </c>
      <c r="AL31" s="51">
        <v>544.44</v>
      </c>
      <c r="AM31" s="51">
        <v>542.7</v>
      </c>
      <c r="AN31" s="51">
        <v>545.6</v>
      </c>
      <c r="AO31" s="67">
        <v>554.2</v>
      </c>
      <c r="AP31" s="67">
        <v>526</v>
      </c>
      <c r="AQ31" s="67">
        <v>528.94</v>
      </c>
      <c r="AR31" s="67">
        <v>539.7</v>
      </c>
      <c r="AS31" s="67">
        <v>547.9</v>
      </c>
      <c r="AT31" s="67">
        <v>547.84</v>
      </c>
      <c r="AU31" s="67">
        <v>545.1</v>
      </c>
      <c r="AV31" s="258">
        <v>521.8</v>
      </c>
      <c r="AW31" s="67">
        <v>506.9</v>
      </c>
      <c r="AX31" s="67">
        <v>518.8</v>
      </c>
      <c r="AY31" s="67">
        <v>528.7</v>
      </c>
      <c r="AZ31" s="67">
        <v>538.3</v>
      </c>
      <c r="BA31" s="68">
        <v>532.7</v>
      </c>
      <c r="BB31" s="68">
        <v>493.4</v>
      </c>
      <c r="BC31" s="68">
        <v>470.7</v>
      </c>
      <c r="BD31" s="68">
        <v>456.1</v>
      </c>
      <c r="BE31" s="68">
        <v>449.2</v>
      </c>
      <c r="BF31" s="68">
        <v>468.9</v>
      </c>
      <c r="BG31" s="68">
        <v>481.5</v>
      </c>
      <c r="BH31" s="258">
        <v>424.1</v>
      </c>
      <c r="BI31" s="67">
        <v>418.85</v>
      </c>
      <c r="BJ31" s="67">
        <v>429</v>
      </c>
      <c r="BK31" s="67">
        <v>431.73</v>
      </c>
      <c r="BL31" s="67">
        <v>446.8</v>
      </c>
      <c r="BM31" s="67">
        <v>440.34</v>
      </c>
      <c r="BN31" s="67">
        <v>411.4</v>
      </c>
      <c r="BO31" s="67">
        <v>400.1</v>
      </c>
      <c r="BP31" s="67">
        <v>399.9</v>
      </c>
      <c r="BQ31" s="67">
        <v>396.7</v>
      </c>
      <c r="BR31" s="67">
        <v>402.8</v>
      </c>
      <c r="BS31" s="67">
        <v>415.5</v>
      </c>
      <c r="BT31" s="242">
        <v>383.6</v>
      </c>
      <c r="BU31" s="67">
        <v>385.5</v>
      </c>
      <c r="BV31" s="67">
        <v>388.8</v>
      </c>
      <c r="BW31" s="67">
        <v>383.6</v>
      </c>
      <c r="BX31" s="67">
        <v>365.4</v>
      </c>
      <c r="BY31" s="67">
        <v>365.2</v>
      </c>
      <c r="BZ31" s="67">
        <v>335.6</v>
      </c>
      <c r="CA31" s="67">
        <v>340.6</v>
      </c>
      <c r="CB31" s="67">
        <v>334.15</v>
      </c>
      <c r="CC31" s="67">
        <v>342.5</v>
      </c>
      <c r="CD31" s="67">
        <v>336.2</v>
      </c>
      <c r="CE31" s="67">
        <v>333.3</v>
      </c>
      <c r="CF31" s="242">
        <v>305.3</v>
      </c>
      <c r="CG31" s="242">
        <v>300</v>
      </c>
      <c r="CH31" s="67">
        <v>293.7</v>
      </c>
      <c r="CI31" s="67">
        <v>288.8</v>
      </c>
      <c r="CJ31" s="67">
        <v>294.45</v>
      </c>
      <c r="CK31" s="67">
        <v>304.1</v>
      </c>
      <c r="CL31" s="67">
        <v>264.5</v>
      </c>
      <c r="CM31" s="67">
        <v>264.6</v>
      </c>
      <c r="CN31" s="67">
        <v>267.3</v>
      </c>
      <c r="CO31" s="287">
        <v>270</v>
      </c>
      <c r="CP31" s="67">
        <v>273.9</v>
      </c>
      <c r="CQ31" s="67">
        <v>269.7</v>
      </c>
      <c r="CR31" s="67">
        <v>229</v>
      </c>
      <c r="CS31" s="67">
        <v>240.2</v>
      </c>
      <c r="CT31" s="67">
        <v>241.4</v>
      </c>
      <c r="CU31" s="67">
        <v>241.7</v>
      </c>
      <c r="CV31" s="67">
        <v>241.4</v>
      </c>
      <c r="CW31" s="67">
        <v>240.5</v>
      </c>
      <c r="CX31" s="67">
        <v>208.2</v>
      </c>
    </row>
    <row r="32" spans="1:102" ht="15">
      <c r="A32" s="100" t="s">
        <v>29</v>
      </c>
      <c r="B32" s="44">
        <v>112.24</v>
      </c>
      <c r="C32" s="45">
        <v>97.3</v>
      </c>
      <c r="D32" s="46">
        <v>0</v>
      </c>
      <c r="E32" s="47">
        <v>0</v>
      </c>
      <c r="F32" s="48">
        <v>0</v>
      </c>
      <c r="G32" s="49">
        <v>0</v>
      </c>
      <c r="H32" s="48">
        <v>0</v>
      </c>
      <c r="I32" s="48">
        <v>0</v>
      </c>
      <c r="J32" s="49">
        <v>0</v>
      </c>
      <c r="K32" s="47">
        <v>0</v>
      </c>
      <c r="L32" s="50">
        <v>0</v>
      </c>
      <c r="M32" s="51">
        <v>0</v>
      </c>
      <c r="N32" s="51">
        <v>0</v>
      </c>
      <c r="O32" s="50">
        <v>0</v>
      </c>
      <c r="P32" s="50">
        <v>0</v>
      </c>
      <c r="Q32" s="52">
        <v>0</v>
      </c>
      <c r="R32" s="53">
        <v>0</v>
      </c>
      <c r="S32" s="112">
        <v>0</v>
      </c>
      <c r="T32" s="50">
        <v>0</v>
      </c>
      <c r="U32" s="50">
        <v>0</v>
      </c>
      <c r="V32" s="52">
        <v>0</v>
      </c>
      <c r="W32" s="55">
        <v>0</v>
      </c>
      <c r="X32" s="55">
        <v>0</v>
      </c>
      <c r="Y32" s="272">
        <v>0</v>
      </c>
      <c r="Z32" s="55">
        <v>0</v>
      </c>
      <c r="AA32" s="50">
        <v>0</v>
      </c>
      <c r="AB32" s="50">
        <v>0</v>
      </c>
      <c r="AC32" s="50">
        <v>0</v>
      </c>
      <c r="AD32" s="50">
        <v>0</v>
      </c>
      <c r="AE32" s="64">
        <v>0</v>
      </c>
      <c r="AF32" s="50">
        <v>0</v>
      </c>
      <c r="AG32" s="77">
        <v>0</v>
      </c>
      <c r="AH32" s="51">
        <v>0</v>
      </c>
      <c r="AI32" s="55">
        <v>0</v>
      </c>
      <c r="AJ32" s="66">
        <v>0</v>
      </c>
      <c r="AK32" s="51">
        <v>0</v>
      </c>
      <c r="AL32" s="51">
        <v>0</v>
      </c>
      <c r="AM32" s="51">
        <v>0</v>
      </c>
      <c r="AN32" s="51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258">
        <v>0</v>
      </c>
      <c r="AW32" s="67">
        <v>0</v>
      </c>
      <c r="AX32" s="67">
        <v>0</v>
      </c>
      <c r="AY32" s="67">
        <v>0</v>
      </c>
      <c r="AZ32" s="67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258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242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67">
        <v>0</v>
      </c>
      <c r="CE32" s="67">
        <v>0</v>
      </c>
      <c r="CF32" s="242">
        <v>0</v>
      </c>
      <c r="CG32" s="242">
        <v>0</v>
      </c>
      <c r="CH32" s="67">
        <v>0</v>
      </c>
      <c r="CI32" s="67">
        <v>0</v>
      </c>
      <c r="CJ32" s="67">
        <v>0</v>
      </c>
      <c r="CK32" s="67">
        <v>0</v>
      </c>
      <c r="CL32" s="67">
        <v>0</v>
      </c>
      <c r="CM32" s="67">
        <v>0</v>
      </c>
      <c r="CN32" s="67">
        <v>0</v>
      </c>
      <c r="CO32" s="287">
        <v>0</v>
      </c>
      <c r="CP32" s="67">
        <v>0</v>
      </c>
      <c r="CQ32" s="67">
        <v>0</v>
      </c>
      <c r="CR32" s="67">
        <v>0</v>
      </c>
      <c r="CS32" s="67">
        <v>0</v>
      </c>
      <c r="CT32" s="67">
        <v>0</v>
      </c>
      <c r="CU32" s="67">
        <v>0</v>
      </c>
      <c r="CV32" s="67">
        <v>0</v>
      </c>
      <c r="CW32" s="67">
        <v>0</v>
      </c>
      <c r="CX32" s="67">
        <v>0</v>
      </c>
    </row>
    <row r="33" spans="1:102" ht="15">
      <c r="A33" s="100" t="s">
        <v>30</v>
      </c>
      <c r="B33" s="44">
        <f>14.8+944.5</f>
        <v>959.3</v>
      </c>
      <c r="C33" s="45">
        <f>123.14+259.95</f>
        <v>383.09</v>
      </c>
      <c r="D33" s="46">
        <f>158.03+344.3</f>
        <v>502.33000000000004</v>
      </c>
      <c r="E33" s="47">
        <f>549.8+319.97</f>
        <v>869.77</v>
      </c>
      <c r="F33" s="48">
        <f>431.7+555.92</f>
        <v>987.6199999999999</v>
      </c>
      <c r="G33" s="49">
        <f>667.54+641.73</f>
        <v>1309.27</v>
      </c>
      <c r="H33" s="48">
        <f>489.64+790.32</f>
        <v>1279.96</v>
      </c>
      <c r="I33" s="48">
        <f>107.1+1203.41</f>
        <v>1310.51</v>
      </c>
      <c r="J33" s="49">
        <f>118.5+1795.48</f>
        <v>1913.98</v>
      </c>
      <c r="K33" s="47">
        <f>1818.92+85.95</f>
        <v>1904.8700000000001</v>
      </c>
      <c r="L33" s="50">
        <v>2542.56</v>
      </c>
      <c r="M33" s="51">
        <v>2447</v>
      </c>
      <c r="N33" s="51">
        <v>2391.591</v>
      </c>
      <c r="O33" s="50">
        <v>2206.268407</v>
      </c>
      <c r="P33" s="50">
        <v>2143.54184</v>
      </c>
      <c r="Q33" s="52">
        <v>2241.30312</v>
      </c>
      <c r="R33" s="53">
        <v>2333.83592</v>
      </c>
      <c r="S33" s="112">
        <v>2462.76624</v>
      </c>
      <c r="T33" s="50">
        <v>2464.84836</v>
      </c>
      <c r="U33" s="50">
        <v>2716.9</v>
      </c>
      <c r="V33" s="52">
        <v>2587.66112</v>
      </c>
      <c r="W33" s="55">
        <v>2785.18983</v>
      </c>
      <c r="X33" s="55">
        <v>2840</v>
      </c>
      <c r="Y33" s="272">
        <v>2543.4</v>
      </c>
      <c r="Z33" s="55">
        <v>2318.53</v>
      </c>
      <c r="AA33" s="50">
        <v>2341.8</v>
      </c>
      <c r="AB33" s="50">
        <v>2389.6</v>
      </c>
      <c r="AC33" s="50">
        <v>2217.64</v>
      </c>
      <c r="AD33" s="50">
        <v>2237.44</v>
      </c>
      <c r="AE33" s="64">
        <v>2206.4</v>
      </c>
      <c r="AF33" s="50">
        <v>2205</v>
      </c>
      <c r="AG33" s="77">
        <v>2163.3</v>
      </c>
      <c r="AH33" s="51">
        <v>2123.6</v>
      </c>
      <c r="AI33" s="55">
        <v>2060.7</v>
      </c>
      <c r="AJ33" s="66">
        <v>1991.5</v>
      </c>
      <c r="AK33" s="51">
        <v>2084.3</v>
      </c>
      <c r="AL33" s="51">
        <v>2039.64</v>
      </c>
      <c r="AM33" s="51">
        <v>1978.2</v>
      </c>
      <c r="AN33" s="51">
        <v>1987.5</v>
      </c>
      <c r="AO33" s="67">
        <v>2014.1</v>
      </c>
      <c r="AP33" s="67">
        <v>1992.1</v>
      </c>
      <c r="AQ33" s="67">
        <v>2017.64</v>
      </c>
      <c r="AR33" s="67">
        <v>2007.3</v>
      </c>
      <c r="AS33" s="67">
        <v>1978.5</v>
      </c>
      <c r="AT33" s="67">
        <v>1944.84</v>
      </c>
      <c r="AU33" s="67">
        <v>1862.8</v>
      </c>
      <c r="AV33" s="258">
        <v>1898</v>
      </c>
      <c r="AW33" s="67">
        <v>2047.9</v>
      </c>
      <c r="AX33" s="67">
        <v>2018.9</v>
      </c>
      <c r="AY33" s="67">
        <v>2049.7</v>
      </c>
      <c r="AZ33" s="67">
        <v>1989.5</v>
      </c>
      <c r="BA33" s="68">
        <v>1958.3</v>
      </c>
      <c r="BB33" s="68">
        <v>1944.6</v>
      </c>
      <c r="BC33" s="68">
        <v>1924.5</v>
      </c>
      <c r="BD33" s="68">
        <v>1922.1</v>
      </c>
      <c r="BE33" s="68">
        <v>1900.5</v>
      </c>
      <c r="BF33" s="68">
        <v>1956.8</v>
      </c>
      <c r="BG33" s="68">
        <v>2002.9</v>
      </c>
      <c r="BH33" s="258">
        <v>2012.1</v>
      </c>
      <c r="BI33" s="67">
        <v>2014.75</v>
      </c>
      <c r="BJ33" s="67">
        <v>2109.94</v>
      </c>
      <c r="BK33" s="67">
        <v>1993.54</v>
      </c>
      <c r="BL33" s="67">
        <v>2092.3</v>
      </c>
      <c r="BM33" s="67">
        <v>2075.74</v>
      </c>
      <c r="BN33" s="67">
        <v>2250.5</v>
      </c>
      <c r="BO33" s="67">
        <v>2211.2</v>
      </c>
      <c r="BP33" s="67">
        <v>2188.5</v>
      </c>
      <c r="BQ33" s="67">
        <v>2177.6</v>
      </c>
      <c r="BR33" s="67">
        <v>2167.7</v>
      </c>
      <c r="BS33" s="67">
        <v>2094.2</v>
      </c>
      <c r="BT33" s="242">
        <v>2046.9</v>
      </c>
      <c r="BU33" s="67">
        <v>2055.5</v>
      </c>
      <c r="BV33" s="67">
        <v>2091.4</v>
      </c>
      <c r="BW33" s="67">
        <v>2043</v>
      </c>
      <c r="BX33" s="67">
        <v>1997.4</v>
      </c>
      <c r="BY33" s="67">
        <v>1979.8</v>
      </c>
      <c r="BZ33" s="67">
        <v>1914.9</v>
      </c>
      <c r="CA33" s="67">
        <v>1887.7</v>
      </c>
      <c r="CB33" s="67">
        <v>1860.55</v>
      </c>
      <c r="CC33" s="67">
        <v>1808.3</v>
      </c>
      <c r="CD33" s="67">
        <v>1820.4</v>
      </c>
      <c r="CE33" s="67">
        <v>1834.1</v>
      </c>
      <c r="CF33" s="242">
        <v>1804.55</v>
      </c>
      <c r="CG33" s="242">
        <v>1796.1</v>
      </c>
      <c r="CH33" s="67">
        <v>1843.1</v>
      </c>
      <c r="CI33" s="67">
        <v>1796.9</v>
      </c>
      <c r="CJ33" s="67">
        <v>1778.6</v>
      </c>
      <c r="CK33" s="67">
        <v>1843.5</v>
      </c>
      <c r="CL33" s="67">
        <v>1827.2</v>
      </c>
      <c r="CM33" s="67">
        <v>1787.8</v>
      </c>
      <c r="CN33" s="67">
        <v>1797.5</v>
      </c>
      <c r="CO33" s="287">
        <v>1730.2</v>
      </c>
      <c r="CP33" s="67">
        <v>1774.7</v>
      </c>
      <c r="CQ33" s="67">
        <v>1766.1</v>
      </c>
      <c r="CR33" s="67">
        <v>1806.5</v>
      </c>
      <c r="CS33" s="67">
        <v>1854.6</v>
      </c>
      <c r="CT33" s="67">
        <v>1815.9</v>
      </c>
      <c r="CU33" s="67">
        <v>1812.1</v>
      </c>
      <c r="CV33" s="67">
        <v>1803</v>
      </c>
      <c r="CW33" s="67">
        <v>1853</v>
      </c>
      <c r="CX33" s="67">
        <v>1827.6</v>
      </c>
    </row>
    <row r="34" spans="1:102" ht="15">
      <c r="A34" s="100" t="s">
        <v>31</v>
      </c>
      <c r="B34" s="44">
        <v>26.6</v>
      </c>
      <c r="C34" s="45">
        <v>25.372391</v>
      </c>
      <c r="D34" s="46">
        <v>0</v>
      </c>
      <c r="E34" s="47">
        <v>0</v>
      </c>
      <c r="F34" s="48">
        <v>0</v>
      </c>
      <c r="G34" s="49">
        <v>0</v>
      </c>
      <c r="H34" s="48">
        <v>0</v>
      </c>
      <c r="I34" s="48">
        <v>0</v>
      </c>
      <c r="J34" s="49">
        <v>0</v>
      </c>
      <c r="K34" s="47">
        <v>0</v>
      </c>
      <c r="L34" s="50">
        <v>0</v>
      </c>
      <c r="M34" s="51">
        <v>0</v>
      </c>
      <c r="N34" s="51">
        <v>0</v>
      </c>
      <c r="O34" s="50">
        <v>0</v>
      </c>
      <c r="P34" s="50">
        <v>0</v>
      </c>
      <c r="Q34" s="113">
        <v>0</v>
      </c>
      <c r="R34" s="53">
        <v>0</v>
      </c>
      <c r="S34" s="112">
        <v>0</v>
      </c>
      <c r="T34" s="50">
        <v>0</v>
      </c>
      <c r="U34" s="50">
        <v>0</v>
      </c>
      <c r="V34" s="52">
        <v>0</v>
      </c>
      <c r="W34" s="55">
        <v>0</v>
      </c>
      <c r="X34" s="55">
        <v>0</v>
      </c>
      <c r="Y34" s="272">
        <v>0</v>
      </c>
      <c r="Z34" s="55">
        <v>0</v>
      </c>
      <c r="AA34" s="50">
        <v>0</v>
      </c>
      <c r="AB34" s="50">
        <v>0</v>
      </c>
      <c r="AC34" s="50">
        <v>0</v>
      </c>
      <c r="AD34" s="50">
        <v>0</v>
      </c>
      <c r="AE34" s="64">
        <v>0</v>
      </c>
      <c r="AF34" s="50">
        <v>0</v>
      </c>
      <c r="AG34" s="77">
        <v>0</v>
      </c>
      <c r="AH34" s="51">
        <v>0</v>
      </c>
      <c r="AI34" s="55">
        <v>0</v>
      </c>
      <c r="AJ34" s="66">
        <v>0</v>
      </c>
      <c r="AK34" s="51">
        <v>0</v>
      </c>
      <c r="AL34" s="51">
        <v>0</v>
      </c>
      <c r="AM34" s="51">
        <v>0</v>
      </c>
      <c r="AN34" s="51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258">
        <v>0</v>
      </c>
      <c r="AW34" s="67">
        <v>0</v>
      </c>
      <c r="AX34" s="67">
        <v>0</v>
      </c>
      <c r="AY34" s="67">
        <v>0</v>
      </c>
      <c r="AZ34" s="67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258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242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  <c r="CD34" s="67">
        <v>0</v>
      </c>
      <c r="CE34" s="67">
        <v>0</v>
      </c>
      <c r="CF34" s="242">
        <v>0</v>
      </c>
      <c r="CG34" s="242">
        <v>0</v>
      </c>
      <c r="CH34" s="67">
        <v>0</v>
      </c>
      <c r="CI34" s="67">
        <v>0</v>
      </c>
      <c r="CJ34" s="67">
        <v>0</v>
      </c>
      <c r="CK34" s="67">
        <v>0</v>
      </c>
      <c r="CL34" s="67">
        <v>0</v>
      </c>
      <c r="CM34" s="67">
        <v>0</v>
      </c>
      <c r="CN34" s="67">
        <v>0</v>
      </c>
      <c r="CO34" s="287">
        <v>0</v>
      </c>
      <c r="CP34" s="67">
        <v>0</v>
      </c>
      <c r="CQ34" s="67">
        <v>0</v>
      </c>
      <c r="CR34" s="67">
        <v>0</v>
      </c>
      <c r="CS34" s="67">
        <v>0</v>
      </c>
      <c r="CT34" s="67">
        <v>0</v>
      </c>
      <c r="CU34" s="67">
        <v>0</v>
      </c>
      <c r="CV34" s="67">
        <v>0</v>
      </c>
      <c r="CW34" s="67">
        <v>0</v>
      </c>
      <c r="CX34" s="67">
        <v>0</v>
      </c>
    </row>
    <row r="35" spans="1:102" ht="15">
      <c r="A35" s="100" t="s">
        <v>32</v>
      </c>
      <c r="B35" s="44">
        <v>9.7</v>
      </c>
      <c r="C35" s="45">
        <v>6.761758</v>
      </c>
      <c r="D35" s="46">
        <v>2.814</v>
      </c>
      <c r="E35" s="47">
        <v>0</v>
      </c>
      <c r="F35" s="48">
        <v>0</v>
      </c>
      <c r="G35" s="49">
        <v>0</v>
      </c>
      <c r="H35" s="48">
        <v>0</v>
      </c>
      <c r="I35" s="48">
        <v>0</v>
      </c>
      <c r="J35" s="49">
        <v>0</v>
      </c>
      <c r="K35" s="47">
        <v>0</v>
      </c>
      <c r="L35" s="50">
        <v>0</v>
      </c>
      <c r="M35" s="51">
        <v>0</v>
      </c>
      <c r="N35" s="51">
        <v>0</v>
      </c>
      <c r="O35" s="50">
        <v>0</v>
      </c>
      <c r="P35" s="50">
        <v>0</v>
      </c>
      <c r="Q35" s="52">
        <v>0</v>
      </c>
      <c r="R35" s="53">
        <v>0</v>
      </c>
      <c r="S35" s="112">
        <v>0</v>
      </c>
      <c r="T35" s="50">
        <v>0</v>
      </c>
      <c r="U35" s="50">
        <v>0</v>
      </c>
      <c r="V35" s="52">
        <v>0</v>
      </c>
      <c r="W35" s="55">
        <v>0</v>
      </c>
      <c r="X35" s="55">
        <v>0</v>
      </c>
      <c r="Y35" s="272">
        <v>0</v>
      </c>
      <c r="Z35" s="55">
        <v>0</v>
      </c>
      <c r="AA35" s="50">
        <v>0</v>
      </c>
      <c r="AB35" s="50">
        <v>0</v>
      </c>
      <c r="AC35" s="50">
        <v>0</v>
      </c>
      <c r="AD35" s="50">
        <v>0</v>
      </c>
      <c r="AE35" s="64">
        <v>0</v>
      </c>
      <c r="AF35" s="50">
        <v>0</v>
      </c>
      <c r="AG35" s="77">
        <v>0</v>
      </c>
      <c r="AH35" s="51">
        <v>0</v>
      </c>
      <c r="AI35" s="55">
        <v>0</v>
      </c>
      <c r="AJ35" s="66">
        <v>0</v>
      </c>
      <c r="AK35" s="51">
        <v>0</v>
      </c>
      <c r="AL35" s="51">
        <v>0</v>
      </c>
      <c r="AM35" s="51">
        <v>0</v>
      </c>
      <c r="AN35" s="51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258">
        <v>0</v>
      </c>
      <c r="AW35" s="67">
        <v>0</v>
      </c>
      <c r="AX35" s="67">
        <v>0</v>
      </c>
      <c r="AY35" s="67">
        <v>0</v>
      </c>
      <c r="AZ35" s="67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258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242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>
        <v>0</v>
      </c>
      <c r="CC35" s="67">
        <v>0</v>
      </c>
      <c r="CD35" s="67">
        <v>0</v>
      </c>
      <c r="CE35" s="67">
        <v>0</v>
      </c>
      <c r="CF35" s="242">
        <v>0</v>
      </c>
      <c r="CG35" s="242">
        <v>0</v>
      </c>
      <c r="CH35" s="67">
        <v>0</v>
      </c>
      <c r="CI35" s="67">
        <v>0</v>
      </c>
      <c r="CJ35" s="67">
        <v>0</v>
      </c>
      <c r="CK35" s="67">
        <v>0</v>
      </c>
      <c r="CL35" s="67">
        <v>0</v>
      </c>
      <c r="CM35" s="67">
        <v>0</v>
      </c>
      <c r="CN35" s="67">
        <v>0</v>
      </c>
      <c r="CO35" s="287">
        <v>0</v>
      </c>
      <c r="CP35" s="67">
        <v>0</v>
      </c>
      <c r="CQ35" s="67">
        <v>0</v>
      </c>
      <c r="CR35" s="67">
        <v>0</v>
      </c>
      <c r="CS35" s="67">
        <v>0</v>
      </c>
      <c r="CT35" s="67">
        <v>0</v>
      </c>
      <c r="CU35" s="67">
        <v>0</v>
      </c>
      <c r="CV35" s="67">
        <v>0</v>
      </c>
      <c r="CW35" s="67">
        <v>0</v>
      </c>
      <c r="CX35" s="67">
        <v>0</v>
      </c>
    </row>
    <row r="36" spans="1:102" ht="15">
      <c r="A36" s="100" t="s">
        <v>33</v>
      </c>
      <c r="B36" s="44">
        <f>73.67+51.6</f>
        <v>125.27000000000001</v>
      </c>
      <c r="C36" s="45">
        <f>82.09+62.098</f>
        <v>144.188</v>
      </c>
      <c r="D36" s="46">
        <f>107.2+84.1</f>
        <v>191.3</v>
      </c>
      <c r="E36" s="47">
        <f>75.6+105.6</f>
        <v>181.2</v>
      </c>
      <c r="F36" s="48">
        <f>70.48+108.73</f>
        <v>179.21</v>
      </c>
      <c r="G36" s="49">
        <f>119.1+69.33</f>
        <v>188.43</v>
      </c>
      <c r="H36" s="48">
        <f>106.93+55.26</f>
        <v>162.19</v>
      </c>
      <c r="I36" s="48">
        <f>109.16+44.47</f>
        <v>153.63</v>
      </c>
      <c r="J36" s="49">
        <v>124.3</v>
      </c>
      <c r="K36" s="47">
        <f>29.96+98.5</f>
        <v>128.46</v>
      </c>
      <c r="L36" s="50">
        <v>129.4</v>
      </c>
      <c r="M36" s="51">
        <v>126.8</v>
      </c>
      <c r="N36" s="51">
        <v>120.1275</v>
      </c>
      <c r="O36" s="50">
        <v>113.713724</v>
      </c>
      <c r="P36" s="50">
        <v>110.41624</v>
      </c>
      <c r="Q36" s="52">
        <v>114.14616</v>
      </c>
      <c r="R36" s="53">
        <v>118.13139</v>
      </c>
      <c r="S36" s="112">
        <v>52.57972</v>
      </c>
      <c r="T36" s="50">
        <v>47.71764</v>
      </c>
      <c r="U36" s="50">
        <v>47.5</v>
      </c>
      <c r="V36" s="52">
        <v>48.43216</v>
      </c>
      <c r="W36" s="55">
        <v>0</v>
      </c>
      <c r="X36" s="55">
        <v>0</v>
      </c>
      <c r="Y36" s="272">
        <v>0</v>
      </c>
      <c r="Z36" s="55">
        <v>0</v>
      </c>
      <c r="AA36" s="50">
        <v>0</v>
      </c>
      <c r="AB36" s="50">
        <v>0</v>
      </c>
      <c r="AC36" s="50">
        <v>0</v>
      </c>
      <c r="AD36" s="50">
        <v>0</v>
      </c>
      <c r="AE36" s="64">
        <v>0</v>
      </c>
      <c r="AF36" s="50">
        <v>0</v>
      </c>
      <c r="AG36" s="77">
        <v>0</v>
      </c>
      <c r="AH36" s="51">
        <v>0</v>
      </c>
      <c r="AI36" s="55">
        <v>0</v>
      </c>
      <c r="AJ36" s="66">
        <v>0</v>
      </c>
      <c r="AK36" s="51">
        <v>0</v>
      </c>
      <c r="AL36" s="51">
        <v>0</v>
      </c>
      <c r="AM36" s="51">
        <v>0</v>
      </c>
      <c r="AN36" s="51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258">
        <v>0</v>
      </c>
      <c r="AW36" s="67">
        <v>0</v>
      </c>
      <c r="AX36" s="67">
        <v>0</v>
      </c>
      <c r="AY36" s="67">
        <v>0</v>
      </c>
      <c r="AZ36" s="67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258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242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>
        <v>0</v>
      </c>
      <c r="CC36" s="67">
        <v>0</v>
      </c>
      <c r="CD36" s="67">
        <v>0</v>
      </c>
      <c r="CE36" s="67">
        <v>0</v>
      </c>
      <c r="CF36" s="242">
        <v>0</v>
      </c>
      <c r="CG36" s="242">
        <v>0</v>
      </c>
      <c r="CH36" s="67">
        <v>0</v>
      </c>
      <c r="CI36" s="67">
        <v>0</v>
      </c>
      <c r="CJ36" s="67">
        <v>0</v>
      </c>
      <c r="CK36" s="67">
        <v>0</v>
      </c>
      <c r="CL36" s="67">
        <v>0</v>
      </c>
      <c r="CM36" s="67">
        <v>0</v>
      </c>
      <c r="CN36" s="67">
        <v>0</v>
      </c>
      <c r="CO36" s="287">
        <v>0</v>
      </c>
      <c r="CP36" s="67">
        <v>0</v>
      </c>
      <c r="CQ36" s="67">
        <v>0</v>
      </c>
      <c r="CR36" s="67">
        <v>0</v>
      </c>
      <c r="CS36" s="67">
        <v>0</v>
      </c>
      <c r="CT36" s="67">
        <v>0</v>
      </c>
      <c r="CU36" s="67">
        <v>0</v>
      </c>
      <c r="CV36" s="67">
        <v>0</v>
      </c>
      <c r="CW36" s="67">
        <v>0</v>
      </c>
      <c r="CX36" s="67">
        <v>0</v>
      </c>
    </row>
    <row r="37" spans="1:102" ht="15">
      <c r="A37" s="100" t="s">
        <v>34</v>
      </c>
      <c r="B37" s="44">
        <f>206.46+13.14</f>
        <v>219.60000000000002</v>
      </c>
      <c r="C37" s="45">
        <v>287.09</v>
      </c>
      <c r="D37" s="46">
        <v>0</v>
      </c>
      <c r="E37" s="47">
        <v>0</v>
      </c>
      <c r="F37" s="48">
        <v>0</v>
      </c>
      <c r="G37" s="49">
        <v>0</v>
      </c>
      <c r="H37" s="48">
        <v>0</v>
      </c>
      <c r="I37" s="48">
        <v>0</v>
      </c>
      <c r="J37" s="49">
        <v>0</v>
      </c>
      <c r="K37" s="47">
        <v>0</v>
      </c>
      <c r="L37" s="50">
        <v>0</v>
      </c>
      <c r="M37" s="51">
        <v>0</v>
      </c>
      <c r="N37" s="51">
        <v>0</v>
      </c>
      <c r="O37" s="50">
        <v>0</v>
      </c>
      <c r="P37" s="50">
        <v>0</v>
      </c>
      <c r="Q37" s="52">
        <v>0</v>
      </c>
      <c r="R37" s="53">
        <v>0</v>
      </c>
      <c r="S37" s="112">
        <v>0</v>
      </c>
      <c r="T37" s="50">
        <v>0</v>
      </c>
      <c r="U37" s="50">
        <v>0</v>
      </c>
      <c r="V37" s="52">
        <v>0</v>
      </c>
      <c r="W37" s="55">
        <v>0</v>
      </c>
      <c r="X37" s="55">
        <v>0</v>
      </c>
      <c r="Y37" s="272">
        <v>0</v>
      </c>
      <c r="Z37" s="55">
        <v>0</v>
      </c>
      <c r="AA37" s="50">
        <v>0</v>
      </c>
      <c r="AB37" s="50">
        <v>0</v>
      </c>
      <c r="AC37" s="50">
        <v>0</v>
      </c>
      <c r="AD37" s="50">
        <v>0</v>
      </c>
      <c r="AE37" s="64">
        <v>0</v>
      </c>
      <c r="AF37" s="50">
        <v>0</v>
      </c>
      <c r="AG37" s="77">
        <v>0</v>
      </c>
      <c r="AH37" s="51">
        <v>0</v>
      </c>
      <c r="AI37" s="55">
        <v>0</v>
      </c>
      <c r="AJ37" s="66">
        <v>0</v>
      </c>
      <c r="AK37" s="51">
        <v>0</v>
      </c>
      <c r="AL37" s="51">
        <v>0</v>
      </c>
      <c r="AM37" s="51">
        <v>0</v>
      </c>
      <c r="AN37" s="51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258">
        <v>0</v>
      </c>
      <c r="AW37" s="67">
        <v>0</v>
      </c>
      <c r="AX37" s="67">
        <v>0</v>
      </c>
      <c r="AY37" s="67">
        <v>0</v>
      </c>
      <c r="AZ37" s="67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258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242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0</v>
      </c>
      <c r="CC37" s="67">
        <v>0</v>
      </c>
      <c r="CD37" s="67">
        <v>0</v>
      </c>
      <c r="CE37" s="67">
        <v>0</v>
      </c>
      <c r="CF37" s="242">
        <v>0</v>
      </c>
      <c r="CG37" s="242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0</v>
      </c>
      <c r="CN37" s="67">
        <v>0</v>
      </c>
      <c r="CO37" s="287">
        <v>0</v>
      </c>
      <c r="CP37" s="67">
        <v>0</v>
      </c>
      <c r="CQ37" s="67">
        <v>0</v>
      </c>
      <c r="CR37" s="67">
        <v>0</v>
      </c>
      <c r="CS37" s="67">
        <v>0</v>
      </c>
      <c r="CT37" s="67">
        <v>0</v>
      </c>
      <c r="CU37" s="67">
        <v>0</v>
      </c>
      <c r="CV37" s="67">
        <v>0</v>
      </c>
      <c r="CW37" s="67">
        <v>0</v>
      </c>
      <c r="CX37" s="67">
        <v>0</v>
      </c>
    </row>
    <row r="38" spans="1:102" ht="15">
      <c r="A38" s="100" t="s">
        <v>35</v>
      </c>
      <c r="B38" s="44">
        <v>2.7</v>
      </c>
      <c r="C38" s="45">
        <v>1.05</v>
      </c>
      <c r="D38" s="46">
        <v>0</v>
      </c>
      <c r="E38" s="47">
        <v>177.5</v>
      </c>
      <c r="F38" s="48">
        <f>402.18</f>
        <v>402.18</v>
      </c>
      <c r="G38" s="49">
        <v>548.81</v>
      </c>
      <c r="H38" s="48">
        <v>402.66</v>
      </c>
      <c r="I38" s="48">
        <v>268.99</v>
      </c>
      <c r="J38" s="49">
        <v>120.96</v>
      </c>
      <c r="K38" s="47">
        <v>39.95</v>
      </c>
      <c r="L38" s="50">
        <v>0</v>
      </c>
      <c r="M38" s="51">
        <v>0</v>
      </c>
      <c r="N38" s="51">
        <v>0</v>
      </c>
      <c r="O38" s="50">
        <v>0</v>
      </c>
      <c r="P38" s="50">
        <v>0</v>
      </c>
      <c r="Q38" s="52">
        <v>0</v>
      </c>
      <c r="R38" s="53">
        <v>0</v>
      </c>
      <c r="S38" s="112">
        <v>0</v>
      </c>
      <c r="T38" s="50">
        <v>0</v>
      </c>
      <c r="U38" s="50">
        <v>0</v>
      </c>
      <c r="V38" s="52">
        <v>0</v>
      </c>
      <c r="W38" s="55">
        <v>0</v>
      </c>
      <c r="X38" s="55">
        <v>0</v>
      </c>
      <c r="Y38" s="272">
        <v>0</v>
      </c>
      <c r="Z38" s="55">
        <v>0</v>
      </c>
      <c r="AA38" s="50">
        <v>0</v>
      </c>
      <c r="AB38" s="50">
        <v>0</v>
      </c>
      <c r="AC38" s="50">
        <v>0</v>
      </c>
      <c r="AD38" s="50">
        <v>0</v>
      </c>
      <c r="AE38" s="64">
        <v>0</v>
      </c>
      <c r="AF38" s="50">
        <v>0</v>
      </c>
      <c r="AG38" s="77">
        <v>0</v>
      </c>
      <c r="AH38" s="51">
        <v>0</v>
      </c>
      <c r="AI38" s="55">
        <v>0</v>
      </c>
      <c r="AJ38" s="66">
        <v>0</v>
      </c>
      <c r="AK38" s="51">
        <v>0</v>
      </c>
      <c r="AL38" s="51">
        <v>0</v>
      </c>
      <c r="AM38" s="51">
        <v>0</v>
      </c>
      <c r="AN38" s="51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>
        <v>0</v>
      </c>
      <c r="AU38" s="67">
        <v>0</v>
      </c>
      <c r="AV38" s="258">
        <v>0</v>
      </c>
      <c r="AW38" s="67">
        <v>0</v>
      </c>
      <c r="AX38" s="67">
        <v>0</v>
      </c>
      <c r="AY38" s="67">
        <v>0</v>
      </c>
      <c r="AZ38" s="67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258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242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>
        <v>0</v>
      </c>
      <c r="CC38" s="67">
        <v>0</v>
      </c>
      <c r="CD38" s="67">
        <v>0</v>
      </c>
      <c r="CE38" s="67">
        <v>0</v>
      </c>
      <c r="CF38" s="242">
        <v>0</v>
      </c>
      <c r="CG38" s="242">
        <v>0</v>
      </c>
      <c r="CH38" s="67">
        <v>0</v>
      </c>
      <c r="CI38" s="67">
        <v>0</v>
      </c>
      <c r="CJ38" s="67">
        <v>0</v>
      </c>
      <c r="CK38" s="67">
        <v>0</v>
      </c>
      <c r="CL38" s="67">
        <v>0</v>
      </c>
      <c r="CM38" s="67">
        <v>0</v>
      </c>
      <c r="CN38" s="67">
        <v>0</v>
      </c>
      <c r="CO38" s="287">
        <v>0</v>
      </c>
      <c r="CP38" s="67">
        <v>0</v>
      </c>
      <c r="CQ38" s="67">
        <v>0</v>
      </c>
      <c r="CR38" s="67">
        <v>0</v>
      </c>
      <c r="CS38" s="67">
        <v>0</v>
      </c>
      <c r="CT38" s="67">
        <v>0</v>
      </c>
      <c r="CU38" s="67">
        <v>0</v>
      </c>
      <c r="CV38" s="67">
        <v>0</v>
      </c>
      <c r="CW38" s="67">
        <v>0</v>
      </c>
      <c r="CX38" s="67">
        <v>0</v>
      </c>
    </row>
    <row r="39" spans="1:102" ht="15">
      <c r="A39" s="100" t="s">
        <v>36</v>
      </c>
      <c r="B39" s="44">
        <v>0</v>
      </c>
      <c r="C39" s="45">
        <v>0</v>
      </c>
      <c r="D39" s="46">
        <v>0</v>
      </c>
      <c r="E39" s="47">
        <v>0</v>
      </c>
      <c r="F39" s="48">
        <v>0.02</v>
      </c>
      <c r="G39" s="48">
        <v>0.1</v>
      </c>
      <c r="H39" s="48">
        <v>0.02</v>
      </c>
      <c r="I39" s="48">
        <v>0</v>
      </c>
      <c r="J39" s="49">
        <v>0</v>
      </c>
      <c r="K39" s="47">
        <v>0</v>
      </c>
      <c r="L39" s="50">
        <v>0</v>
      </c>
      <c r="M39" s="51">
        <v>0</v>
      </c>
      <c r="N39" s="51">
        <v>0</v>
      </c>
      <c r="O39" s="50">
        <v>0</v>
      </c>
      <c r="P39" s="50">
        <v>0</v>
      </c>
      <c r="Q39" s="52">
        <v>0</v>
      </c>
      <c r="R39" s="53">
        <v>0</v>
      </c>
      <c r="S39" s="112">
        <v>0</v>
      </c>
      <c r="T39" s="50">
        <v>0</v>
      </c>
      <c r="U39" s="50">
        <v>0</v>
      </c>
      <c r="V39" s="52">
        <v>0</v>
      </c>
      <c r="W39" s="55">
        <v>0</v>
      </c>
      <c r="X39" s="55">
        <v>0</v>
      </c>
      <c r="Y39" s="272">
        <v>0</v>
      </c>
      <c r="Z39" s="55">
        <v>0</v>
      </c>
      <c r="AA39" s="50">
        <v>0</v>
      </c>
      <c r="AB39" s="50">
        <v>0</v>
      </c>
      <c r="AC39" s="50">
        <v>0</v>
      </c>
      <c r="AD39" s="50">
        <v>0</v>
      </c>
      <c r="AE39" s="64">
        <v>0</v>
      </c>
      <c r="AF39" s="50">
        <v>0</v>
      </c>
      <c r="AG39" s="65">
        <v>0</v>
      </c>
      <c r="AH39" s="51">
        <v>0</v>
      </c>
      <c r="AI39" s="55">
        <v>0</v>
      </c>
      <c r="AJ39" s="66">
        <v>0</v>
      </c>
      <c r="AK39" s="51">
        <v>0</v>
      </c>
      <c r="AL39" s="51">
        <v>0</v>
      </c>
      <c r="AM39" s="51">
        <v>0</v>
      </c>
      <c r="AN39" s="51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258">
        <v>0</v>
      </c>
      <c r="AW39" s="67">
        <v>0</v>
      </c>
      <c r="AX39" s="67">
        <v>0</v>
      </c>
      <c r="AY39" s="67">
        <v>0</v>
      </c>
      <c r="AZ39" s="67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258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242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>
        <v>0</v>
      </c>
      <c r="CC39" s="67">
        <v>0</v>
      </c>
      <c r="CD39" s="67">
        <v>0</v>
      </c>
      <c r="CE39" s="67">
        <v>0</v>
      </c>
      <c r="CF39" s="242">
        <v>0</v>
      </c>
      <c r="CG39" s="242">
        <v>0</v>
      </c>
      <c r="CH39" s="67">
        <v>0</v>
      </c>
      <c r="CI39" s="67">
        <v>0</v>
      </c>
      <c r="CJ39" s="67">
        <v>0</v>
      </c>
      <c r="CK39" s="67">
        <v>0</v>
      </c>
      <c r="CL39" s="67">
        <v>0</v>
      </c>
      <c r="CM39" s="67">
        <v>0</v>
      </c>
      <c r="CN39" s="67">
        <v>0</v>
      </c>
      <c r="CO39" s="287">
        <v>0</v>
      </c>
      <c r="CP39" s="67">
        <v>0</v>
      </c>
      <c r="CQ39" s="67">
        <v>0</v>
      </c>
      <c r="CR39" s="67">
        <v>0</v>
      </c>
      <c r="CS39" s="67">
        <v>0</v>
      </c>
      <c r="CT39" s="67">
        <v>0</v>
      </c>
      <c r="CU39" s="67">
        <v>0</v>
      </c>
      <c r="CV39" s="67">
        <v>0</v>
      </c>
      <c r="CW39" s="67">
        <v>0</v>
      </c>
      <c r="CX39" s="67">
        <v>0</v>
      </c>
    </row>
    <row r="40" spans="1:102" ht="15">
      <c r="A40" s="90" t="s">
        <v>37</v>
      </c>
      <c r="B40" s="103">
        <f aca="true" t="shared" si="51" ref="B40:K40">SUM(B41:B43)</f>
        <v>25285.510000000002</v>
      </c>
      <c r="C40" s="104">
        <f t="shared" si="51"/>
        <v>33776.4</v>
      </c>
      <c r="D40" s="105">
        <f t="shared" si="51"/>
        <v>43793.82</v>
      </c>
      <c r="E40" s="104">
        <f t="shared" si="51"/>
        <v>51136.75</v>
      </c>
      <c r="F40" s="104">
        <f t="shared" si="51"/>
        <v>55147.33</v>
      </c>
      <c r="G40" s="104">
        <f t="shared" si="51"/>
        <v>56381.799999999996</v>
      </c>
      <c r="H40" s="104">
        <f t="shared" si="51"/>
        <v>59868.5</v>
      </c>
      <c r="I40" s="106">
        <f t="shared" si="51"/>
        <v>76149.6</v>
      </c>
      <c r="J40" s="104">
        <f t="shared" si="51"/>
        <v>100556.4</v>
      </c>
      <c r="K40" s="105">
        <f t="shared" si="51"/>
        <v>136493.8</v>
      </c>
      <c r="L40" s="106">
        <f aca="true" t="shared" si="52" ref="L40:X40">L41+L42+L43</f>
        <v>182510.26032</v>
      </c>
      <c r="M40" s="104">
        <f t="shared" si="52"/>
        <v>178723.03448</v>
      </c>
      <c r="N40" s="104">
        <f t="shared" si="52"/>
        <v>181494.6165</v>
      </c>
      <c r="O40" s="106">
        <f t="shared" si="52"/>
        <v>187476.541801</v>
      </c>
      <c r="P40" s="104">
        <f t="shared" si="52"/>
        <v>184007.58496</v>
      </c>
      <c r="Q40" s="104">
        <f t="shared" si="52"/>
        <v>189121.47608</v>
      </c>
      <c r="R40" s="106">
        <f t="shared" si="52"/>
        <v>202388.04462</v>
      </c>
      <c r="S40" s="106">
        <f t="shared" si="52"/>
        <v>192954.63157</v>
      </c>
      <c r="T40" s="106">
        <f t="shared" si="52"/>
        <v>195975.12888</v>
      </c>
      <c r="U40" s="106">
        <f t="shared" si="52"/>
        <v>200634.5</v>
      </c>
      <c r="V40" s="104">
        <f t="shared" si="52"/>
        <v>199580.80933</v>
      </c>
      <c r="W40" s="106">
        <f t="shared" si="52"/>
        <v>201455.63009</v>
      </c>
      <c r="X40" s="104">
        <f t="shared" si="52"/>
        <v>210388.6</v>
      </c>
      <c r="Y40" s="276">
        <v>226841.9</v>
      </c>
      <c r="Z40" s="108">
        <f aca="true" t="shared" si="53" ref="Z40:BI40">Z41+Z42+Z43</f>
        <v>226822.3</v>
      </c>
      <c r="AA40" s="106">
        <f t="shared" si="53"/>
        <v>235942.09999999998</v>
      </c>
      <c r="AB40" s="106">
        <f t="shared" si="53"/>
        <v>238452.66</v>
      </c>
      <c r="AC40" s="106">
        <f t="shared" si="53"/>
        <v>238986.6</v>
      </c>
      <c r="AD40" s="106">
        <f t="shared" si="53"/>
        <v>239716.8</v>
      </c>
      <c r="AE40" s="107">
        <f t="shared" si="53"/>
        <v>237881.7</v>
      </c>
      <c r="AF40" s="106">
        <f t="shared" si="53"/>
        <v>238895.5</v>
      </c>
      <c r="AG40" s="105">
        <f t="shared" si="53"/>
        <v>246545.90000000002</v>
      </c>
      <c r="AH40" s="104">
        <f t="shared" si="53"/>
        <v>251459.3</v>
      </c>
      <c r="AI40" s="108">
        <f t="shared" si="53"/>
        <v>246739.2</v>
      </c>
      <c r="AJ40" s="103">
        <f t="shared" si="53"/>
        <v>252179.8</v>
      </c>
      <c r="AK40" s="104">
        <f t="shared" si="53"/>
        <v>255987.2</v>
      </c>
      <c r="AL40" s="104">
        <f t="shared" si="53"/>
        <v>259457.68</v>
      </c>
      <c r="AM40" s="104">
        <f t="shared" si="53"/>
        <v>254545.90000000002</v>
      </c>
      <c r="AN40" s="104">
        <f t="shared" si="53"/>
        <v>261542.13</v>
      </c>
      <c r="AO40" s="109">
        <f t="shared" si="53"/>
        <v>255580.2</v>
      </c>
      <c r="AP40" s="109">
        <f t="shared" si="53"/>
        <v>257060.7</v>
      </c>
      <c r="AQ40" s="109">
        <f t="shared" si="53"/>
        <v>255083.9</v>
      </c>
      <c r="AR40" s="109">
        <f t="shared" si="53"/>
        <v>255443.59999999998</v>
      </c>
      <c r="AS40" s="109">
        <f t="shared" si="53"/>
        <v>253959.22999999998</v>
      </c>
      <c r="AT40" s="109">
        <f t="shared" si="53"/>
        <v>261718.59999999998</v>
      </c>
      <c r="AU40" s="109">
        <f t="shared" si="53"/>
        <v>265653.60000000003</v>
      </c>
      <c r="AV40" s="262">
        <f t="shared" si="53"/>
        <v>280763.80000000005</v>
      </c>
      <c r="AW40" s="109">
        <f t="shared" si="53"/>
        <v>268239.7</v>
      </c>
      <c r="AX40" s="109">
        <f t="shared" si="53"/>
        <v>272404.30000000005</v>
      </c>
      <c r="AY40" s="109">
        <f t="shared" si="53"/>
        <v>268935.1</v>
      </c>
      <c r="AZ40" s="109">
        <f t="shared" si="53"/>
        <v>265250.9</v>
      </c>
      <c r="BA40" s="110">
        <f t="shared" si="53"/>
        <v>266229.1</v>
      </c>
      <c r="BB40" s="110">
        <f t="shared" si="53"/>
        <v>273834.7</v>
      </c>
      <c r="BC40" s="110">
        <f t="shared" si="53"/>
        <v>268640.8</v>
      </c>
      <c r="BD40" s="110">
        <f t="shared" si="53"/>
        <v>270339.9</v>
      </c>
      <c r="BE40" s="110">
        <f t="shared" si="53"/>
        <v>272131.4</v>
      </c>
      <c r="BF40" s="110">
        <f t="shared" si="53"/>
        <v>277077.8</v>
      </c>
      <c r="BG40" s="110">
        <f t="shared" si="53"/>
        <v>281841</v>
      </c>
      <c r="BH40" s="262">
        <f t="shared" si="53"/>
        <v>299142.6</v>
      </c>
      <c r="BI40" s="109">
        <f t="shared" si="53"/>
        <v>290246.1</v>
      </c>
      <c r="BJ40" s="109">
        <f aca="true" t="shared" si="54" ref="BJ40:BO40">BJ41+BJ42+BJ43</f>
        <v>294597.58</v>
      </c>
      <c r="BK40" s="109">
        <f t="shared" si="54"/>
        <v>293582.4</v>
      </c>
      <c r="BL40" s="109">
        <f t="shared" si="54"/>
        <v>297926.2</v>
      </c>
      <c r="BM40" s="109">
        <f t="shared" si="54"/>
        <v>306275.48</v>
      </c>
      <c r="BN40" s="109">
        <f t="shared" si="54"/>
        <v>302421.1</v>
      </c>
      <c r="BO40" s="109">
        <f t="shared" si="54"/>
        <v>300994.8</v>
      </c>
      <c r="BP40" s="109">
        <f aca="true" t="shared" si="55" ref="BP40:BV40">BP41+BP42+BP43</f>
        <v>296362.8</v>
      </c>
      <c r="BQ40" s="109">
        <f t="shared" si="55"/>
        <v>298090.6</v>
      </c>
      <c r="BR40" s="109">
        <f t="shared" si="55"/>
        <v>303627.5</v>
      </c>
      <c r="BS40" s="109">
        <f t="shared" si="55"/>
        <v>309343.80000000005</v>
      </c>
      <c r="BT40" s="246">
        <f t="shared" si="55"/>
        <v>323039.30000000005</v>
      </c>
      <c r="BU40" s="109">
        <f t="shared" si="55"/>
        <v>317877.30000000005</v>
      </c>
      <c r="BV40" s="109">
        <f t="shared" si="55"/>
        <v>322256.69999999995</v>
      </c>
      <c r="BW40" s="109">
        <f aca="true" t="shared" si="56" ref="BW40:CB40">BW41+BW42+BW43</f>
        <v>326781</v>
      </c>
      <c r="BX40" s="109">
        <f t="shared" si="56"/>
        <v>326123.8</v>
      </c>
      <c r="BY40" s="109">
        <f t="shared" si="56"/>
        <v>337023.2</v>
      </c>
      <c r="BZ40" s="109">
        <f t="shared" si="56"/>
        <v>336593.39999999997</v>
      </c>
      <c r="CA40" s="109">
        <f t="shared" si="56"/>
        <v>330993.9</v>
      </c>
      <c r="CB40" s="109">
        <f t="shared" si="56"/>
        <v>333090.5</v>
      </c>
      <c r="CC40" s="109">
        <f aca="true" t="shared" si="57" ref="CC40:CH40">CC41+CC42+CC43</f>
        <v>328871.2</v>
      </c>
      <c r="CD40" s="109">
        <f t="shared" si="57"/>
        <v>337195.7</v>
      </c>
      <c r="CE40" s="109">
        <f t="shared" si="57"/>
        <v>342564.6</v>
      </c>
      <c r="CF40" s="246">
        <f t="shared" si="57"/>
        <v>353015.9</v>
      </c>
      <c r="CG40" s="246">
        <f t="shared" si="57"/>
        <v>337601.7</v>
      </c>
      <c r="CH40" s="109">
        <f t="shared" si="57"/>
        <v>357455</v>
      </c>
      <c r="CI40" s="109">
        <f>CI41+CI42+CI43</f>
        <v>350874.7</v>
      </c>
      <c r="CJ40" s="109">
        <f>CJ41+CJ42+CJ43</f>
        <v>352000.19999999995</v>
      </c>
      <c r="CK40" s="109">
        <f>CK41+CK42+CK43</f>
        <v>353484.1</v>
      </c>
      <c r="CL40" s="109">
        <f>CL41+CL42+CL43</f>
        <v>357744.4</v>
      </c>
      <c r="CM40" s="109">
        <f>CM41+CM42+CM43</f>
        <v>355123</v>
      </c>
      <c r="CN40" s="109">
        <v>357931.2</v>
      </c>
      <c r="CO40" s="291">
        <f>CO41+CO42+CO43</f>
        <v>360343.1</v>
      </c>
      <c r="CP40" s="109">
        <f>CP41+CP42+CP43</f>
        <v>373820.69999999995</v>
      </c>
      <c r="CQ40" s="109">
        <f>CQ41+CQ42+CQ43</f>
        <v>383834.6</v>
      </c>
      <c r="CR40" s="109">
        <v>384965</v>
      </c>
      <c r="CS40" s="109">
        <f>CS41+CS42+CS43</f>
        <v>377126.1</v>
      </c>
      <c r="CT40" s="109">
        <v>380164.1</v>
      </c>
      <c r="CU40" s="109">
        <f>CU41+CU42+CU43</f>
        <v>383574</v>
      </c>
      <c r="CV40" s="109">
        <f>CV41+CV42+CV43</f>
        <v>394737.4</v>
      </c>
      <c r="CW40" s="109">
        <f>CW41+CW42+CW43</f>
        <v>395296.1</v>
      </c>
      <c r="CX40" s="109">
        <f>CX41+CX42+CX43</f>
        <v>391572.8</v>
      </c>
    </row>
    <row r="41" spans="1:102" ht="15">
      <c r="A41" s="114" t="s">
        <v>38</v>
      </c>
      <c r="B41" s="111">
        <v>4658.65</v>
      </c>
      <c r="C41" s="49">
        <v>6421.2</v>
      </c>
      <c r="D41" s="46">
        <v>8167.6</v>
      </c>
      <c r="E41" s="47">
        <v>7939.65</v>
      </c>
      <c r="F41" s="48">
        <v>9657.13</v>
      </c>
      <c r="G41" s="49">
        <v>9383.6</v>
      </c>
      <c r="H41" s="48">
        <v>20951.3</v>
      </c>
      <c r="I41" s="48">
        <v>31922.2</v>
      </c>
      <c r="J41" s="49">
        <v>49526.6</v>
      </c>
      <c r="K41" s="47">
        <v>51566.6</v>
      </c>
      <c r="L41" s="50">
        <v>64095.9</v>
      </c>
      <c r="M41" s="51">
        <v>60045.8</v>
      </c>
      <c r="N41" s="51">
        <v>61758.06</v>
      </c>
      <c r="O41" s="50">
        <v>64965.326</v>
      </c>
      <c r="P41" s="50">
        <v>61726.4</v>
      </c>
      <c r="Q41" s="52">
        <v>61234.8</v>
      </c>
      <c r="R41" s="53">
        <v>65827.13</v>
      </c>
      <c r="S41" s="112">
        <v>58388.8</v>
      </c>
      <c r="T41" s="50">
        <v>60795.8</v>
      </c>
      <c r="U41" s="50">
        <v>61109.5</v>
      </c>
      <c r="V41" s="52">
        <v>63297.9</v>
      </c>
      <c r="W41" s="55">
        <v>62678.4</v>
      </c>
      <c r="X41" s="55">
        <v>67788.9</v>
      </c>
      <c r="Y41" s="272">
        <v>43428.3</v>
      </c>
      <c r="Z41" s="55">
        <v>35152.8</v>
      </c>
      <c r="AA41" s="50">
        <v>36139.7</v>
      </c>
      <c r="AB41" s="50">
        <v>37695.2</v>
      </c>
      <c r="AC41" s="50">
        <v>36340</v>
      </c>
      <c r="AD41" s="50">
        <v>29032</v>
      </c>
      <c r="AE41" s="64">
        <v>29995.4</v>
      </c>
      <c r="AF41" s="50">
        <v>29555.4</v>
      </c>
      <c r="AG41" s="58">
        <v>28130.9</v>
      </c>
      <c r="AH41" s="51">
        <v>30100.45</v>
      </c>
      <c r="AI41" s="55">
        <v>27209.7</v>
      </c>
      <c r="AJ41" s="66">
        <v>29453.9</v>
      </c>
      <c r="AK41" s="51">
        <v>22006.3</v>
      </c>
      <c r="AL41" s="51">
        <v>23945.54</v>
      </c>
      <c r="AM41" s="51">
        <v>22008.3</v>
      </c>
      <c r="AN41" s="51">
        <v>26418.03</v>
      </c>
      <c r="AO41" s="67">
        <v>25382.9</v>
      </c>
      <c r="AP41" s="67">
        <v>23987.6</v>
      </c>
      <c r="AQ41" s="67">
        <v>22979.9</v>
      </c>
      <c r="AR41" s="67">
        <v>21961.8</v>
      </c>
      <c r="AS41" s="67">
        <v>18742.4</v>
      </c>
      <c r="AT41" s="67">
        <v>23262.2</v>
      </c>
      <c r="AU41" s="67">
        <v>24826.3</v>
      </c>
      <c r="AV41" s="258">
        <v>35713</v>
      </c>
      <c r="AW41" s="67">
        <v>27364</v>
      </c>
      <c r="AX41" s="67">
        <v>28597.5</v>
      </c>
      <c r="AY41" s="67">
        <v>28789.2</v>
      </c>
      <c r="AZ41" s="67">
        <v>31421.9</v>
      </c>
      <c r="BA41" s="68">
        <v>30114.6</v>
      </c>
      <c r="BB41" s="68">
        <v>32801.2</v>
      </c>
      <c r="BC41" s="68">
        <v>31412.9</v>
      </c>
      <c r="BD41" s="68">
        <v>31217.4</v>
      </c>
      <c r="BE41" s="68">
        <v>31039.8</v>
      </c>
      <c r="BF41" s="68">
        <v>31200.1</v>
      </c>
      <c r="BG41" s="68">
        <v>32001.6</v>
      </c>
      <c r="BH41" s="242">
        <v>44695.3</v>
      </c>
      <c r="BI41" s="67">
        <v>39750.75</v>
      </c>
      <c r="BJ41" s="67">
        <v>42212.5</v>
      </c>
      <c r="BK41" s="67">
        <v>37951</v>
      </c>
      <c r="BL41" s="67">
        <v>39133.4</v>
      </c>
      <c r="BM41" s="67">
        <v>45554.2</v>
      </c>
      <c r="BN41" s="189">
        <v>45320.7</v>
      </c>
      <c r="BO41" s="67">
        <v>43803.2</v>
      </c>
      <c r="BP41" s="67">
        <v>42663.6</v>
      </c>
      <c r="BQ41" s="67">
        <v>41988.1</v>
      </c>
      <c r="BR41" s="67">
        <v>37969.8</v>
      </c>
      <c r="BS41" s="67">
        <v>41442</v>
      </c>
      <c r="BT41" s="242">
        <v>53619.9</v>
      </c>
      <c r="BU41" s="67">
        <v>47684.1</v>
      </c>
      <c r="BV41" s="67">
        <v>49870.2</v>
      </c>
      <c r="BW41" s="67">
        <v>50648.8</v>
      </c>
      <c r="BX41" s="67">
        <v>47802.4</v>
      </c>
      <c r="BY41" s="67">
        <v>46640.3</v>
      </c>
      <c r="BZ41" s="67">
        <v>50518.2</v>
      </c>
      <c r="CA41" s="67">
        <v>49637.9</v>
      </c>
      <c r="CB41" s="67">
        <v>46128.5</v>
      </c>
      <c r="CC41" s="67">
        <v>43884.5</v>
      </c>
      <c r="CD41" s="67">
        <v>47511.2</v>
      </c>
      <c r="CE41" s="67">
        <v>50859.4</v>
      </c>
      <c r="CF41" s="242">
        <v>60863</v>
      </c>
      <c r="CG41" s="242">
        <v>51097.5</v>
      </c>
      <c r="CH41" s="67">
        <v>57332.7</v>
      </c>
      <c r="CI41" s="67">
        <v>53353.8</v>
      </c>
      <c r="CJ41" s="67">
        <v>51420.9</v>
      </c>
      <c r="CK41" s="67">
        <v>50682.2</v>
      </c>
      <c r="CL41" s="67">
        <v>54820.1</v>
      </c>
      <c r="CM41" s="67">
        <v>49421.2</v>
      </c>
      <c r="CN41" s="67">
        <v>49233.6</v>
      </c>
      <c r="CO41" s="287">
        <v>48090</v>
      </c>
      <c r="CP41" s="67">
        <v>47718.1</v>
      </c>
      <c r="CQ41" s="67">
        <v>62022.9</v>
      </c>
      <c r="CR41" s="67">
        <v>57843.9</v>
      </c>
      <c r="CS41" s="67">
        <v>49980.1</v>
      </c>
      <c r="CT41" s="67">
        <v>55865.4</v>
      </c>
      <c r="CU41" s="67">
        <v>55375.2</v>
      </c>
      <c r="CV41" s="67">
        <v>62761</v>
      </c>
      <c r="CW41" s="67">
        <v>56825.1</v>
      </c>
      <c r="CX41" s="67">
        <v>55860</v>
      </c>
    </row>
    <row r="42" spans="1:102" ht="15">
      <c r="A42" s="114" t="s">
        <v>39</v>
      </c>
      <c r="B42" s="44">
        <f>2612.7+2779.7</f>
        <v>5392.4</v>
      </c>
      <c r="C42" s="45">
        <f>4290.3+2751.5</f>
        <v>7041.8</v>
      </c>
      <c r="D42" s="46">
        <f>4459.9+3582.7</f>
        <v>8042.599999999999</v>
      </c>
      <c r="E42" s="47">
        <f>3698.1+3561.4</f>
        <v>7259.5</v>
      </c>
      <c r="F42" s="48">
        <f>3654.6+4732.2</f>
        <v>8386.8</v>
      </c>
      <c r="G42" s="49">
        <f>1984.9+6213.6</f>
        <v>8198.5</v>
      </c>
      <c r="H42" s="48">
        <f>1197.8+4177.4</f>
        <v>5375.2</v>
      </c>
      <c r="I42" s="48">
        <f>8289.5+722.4</f>
        <v>9011.9</v>
      </c>
      <c r="J42" s="49">
        <f>10347.4+365.1</f>
        <v>10712.5</v>
      </c>
      <c r="K42" s="47">
        <f>27085.5+10.6</f>
        <v>27096.1</v>
      </c>
      <c r="L42" s="50">
        <v>42792.21392</v>
      </c>
      <c r="M42" s="51">
        <v>30984.10196</v>
      </c>
      <c r="N42" s="51">
        <v>43143.016</v>
      </c>
      <c r="O42" s="50">
        <v>43041.952217</v>
      </c>
      <c r="P42" s="50">
        <v>31379.52976</v>
      </c>
      <c r="Q42" s="52">
        <v>35674.54832</v>
      </c>
      <c r="R42" s="53">
        <v>56830.34364</v>
      </c>
      <c r="S42" s="112">
        <v>54777.34612</v>
      </c>
      <c r="T42" s="50">
        <v>55591.58912</v>
      </c>
      <c r="U42" s="50">
        <v>56632.7</v>
      </c>
      <c r="V42" s="52">
        <v>54080.87972</v>
      </c>
      <c r="W42" s="55">
        <v>55031.29156</v>
      </c>
      <c r="X42" s="55">
        <v>55152.1</v>
      </c>
      <c r="Y42" s="272">
        <v>77365.7</v>
      </c>
      <c r="Z42" s="55">
        <v>87069.8</v>
      </c>
      <c r="AA42" s="50">
        <v>89885.2</v>
      </c>
      <c r="AB42" s="50">
        <v>88986.63</v>
      </c>
      <c r="AC42" s="50">
        <v>92646.8</v>
      </c>
      <c r="AD42" s="50">
        <v>97217.9</v>
      </c>
      <c r="AE42" s="64">
        <v>96567.45</v>
      </c>
      <c r="AF42" s="50">
        <v>96217.2</v>
      </c>
      <c r="AG42" s="77">
        <v>98188.2</v>
      </c>
      <c r="AH42" s="51">
        <v>96118.25</v>
      </c>
      <c r="AI42" s="55">
        <v>94989.4</v>
      </c>
      <c r="AJ42" s="66">
        <v>94759.7</v>
      </c>
      <c r="AK42" s="51">
        <v>97760.8</v>
      </c>
      <c r="AL42" s="51">
        <v>99676.9</v>
      </c>
      <c r="AM42" s="51">
        <v>97151.4</v>
      </c>
      <c r="AN42" s="51">
        <v>93083.85</v>
      </c>
      <c r="AO42" s="67">
        <v>87610.05</v>
      </c>
      <c r="AP42" s="67">
        <v>88861.4</v>
      </c>
      <c r="AQ42" s="67">
        <v>84907.7</v>
      </c>
      <c r="AR42" s="67">
        <v>87030</v>
      </c>
      <c r="AS42" s="67">
        <v>87161.15</v>
      </c>
      <c r="AT42" s="67">
        <v>81970.5</v>
      </c>
      <c r="AU42" s="67">
        <v>84894.6</v>
      </c>
      <c r="AV42" s="258">
        <v>83930.1</v>
      </c>
      <c r="AW42" s="67">
        <v>85977.2</v>
      </c>
      <c r="AX42" s="67">
        <v>86276.1</v>
      </c>
      <c r="AY42" s="67">
        <v>82615.8</v>
      </c>
      <c r="AZ42" s="67">
        <v>76546.1</v>
      </c>
      <c r="BA42" s="68">
        <v>76959.4</v>
      </c>
      <c r="BB42" s="68">
        <v>77890.8</v>
      </c>
      <c r="BC42" s="68">
        <v>74401.1</v>
      </c>
      <c r="BD42" s="68">
        <v>75538.6</v>
      </c>
      <c r="BE42" s="68">
        <v>76457.6</v>
      </c>
      <c r="BF42" s="68">
        <v>71066.3</v>
      </c>
      <c r="BG42" s="68">
        <v>72960.6</v>
      </c>
      <c r="BH42" s="258">
        <v>74902.4</v>
      </c>
      <c r="BI42" s="67">
        <v>69877</v>
      </c>
      <c r="BJ42" s="67">
        <v>66568.24</v>
      </c>
      <c r="BK42" s="67">
        <v>69694</v>
      </c>
      <c r="BL42" s="67">
        <v>71504.6</v>
      </c>
      <c r="BM42" s="67">
        <v>66597.14</v>
      </c>
      <c r="BN42" s="189">
        <v>61460.6</v>
      </c>
      <c r="BO42" s="67">
        <v>62868.1</v>
      </c>
      <c r="BP42" s="67">
        <v>57773.1</v>
      </c>
      <c r="BQ42" s="67">
        <v>59784.8</v>
      </c>
      <c r="BR42" s="67">
        <v>61751.7</v>
      </c>
      <c r="BS42" s="67">
        <v>62471.1</v>
      </c>
      <c r="BT42" s="242">
        <v>62990.3</v>
      </c>
      <c r="BU42" s="67">
        <v>64503.5</v>
      </c>
      <c r="BV42" s="67">
        <v>65483.6</v>
      </c>
      <c r="BW42" s="67">
        <v>68594.9</v>
      </c>
      <c r="BX42" s="67">
        <v>70948.5</v>
      </c>
      <c r="BY42" s="67">
        <v>73333.2</v>
      </c>
      <c r="BZ42" s="67">
        <v>75458.9</v>
      </c>
      <c r="CA42" s="67">
        <v>68573.8</v>
      </c>
      <c r="CB42" s="67">
        <v>70361</v>
      </c>
      <c r="CC42" s="67">
        <v>71876.2</v>
      </c>
      <c r="CD42" s="67">
        <v>71873.9</v>
      </c>
      <c r="CE42" s="67">
        <v>72545.7</v>
      </c>
      <c r="CF42" s="242">
        <v>72195.3</v>
      </c>
      <c r="CG42" s="242">
        <v>67236.6</v>
      </c>
      <c r="CH42" s="67">
        <v>69260.5</v>
      </c>
      <c r="CI42" s="67">
        <v>71382.8</v>
      </c>
      <c r="CJ42" s="67">
        <v>73746.9</v>
      </c>
      <c r="CK42" s="67">
        <v>75435.9</v>
      </c>
      <c r="CL42" s="67">
        <v>78495.5</v>
      </c>
      <c r="CM42" s="67">
        <v>81324.9</v>
      </c>
      <c r="CN42" s="67">
        <v>82903.6</v>
      </c>
      <c r="CO42" s="287">
        <v>85377.9</v>
      </c>
      <c r="CP42" s="67">
        <v>88834.8</v>
      </c>
      <c r="CQ42" s="67">
        <v>82882.9</v>
      </c>
      <c r="CR42" s="67">
        <v>86846.3</v>
      </c>
      <c r="CS42" s="67">
        <v>83835.3</v>
      </c>
      <c r="CT42" s="67">
        <v>80041.3</v>
      </c>
      <c r="CU42" s="67">
        <v>99061.8</v>
      </c>
      <c r="CV42" s="67">
        <v>75809.2</v>
      </c>
      <c r="CW42" s="67">
        <v>81129.1</v>
      </c>
      <c r="CX42" s="67">
        <v>75591</v>
      </c>
    </row>
    <row r="43" spans="1:102" ht="15">
      <c r="A43" s="114" t="s">
        <v>40</v>
      </c>
      <c r="B43" s="44">
        <f>3474.7+11745.2+14.56</f>
        <v>15234.460000000001</v>
      </c>
      <c r="C43" s="45">
        <f>5963.5+14337.2+12.7</f>
        <v>20313.4</v>
      </c>
      <c r="D43" s="46">
        <f>7267+20305.7+10.92</f>
        <v>27583.62</v>
      </c>
      <c r="E43" s="47">
        <f>11837.6+24090.9+9.1</f>
        <v>35937.6</v>
      </c>
      <c r="F43" s="48">
        <f>12347.6+24734.2+21.6</f>
        <v>37103.4</v>
      </c>
      <c r="G43" s="49">
        <f>11496.1+26773+530.6</f>
        <v>38799.7</v>
      </c>
      <c r="H43" s="48">
        <f>8717+24126.4+698.6</f>
        <v>33542</v>
      </c>
      <c r="I43" s="48">
        <f>1662.7+7701.6+25851.2</f>
        <v>35215.5</v>
      </c>
      <c r="J43" s="49">
        <f>1649.1+8108.3+30559.9</f>
        <v>40317.3</v>
      </c>
      <c r="K43" s="47">
        <f>5697+11687.7+40446.4</f>
        <v>57831.100000000006</v>
      </c>
      <c r="L43" s="50">
        <v>75622.1464</v>
      </c>
      <c r="M43" s="51">
        <v>87693.13252</v>
      </c>
      <c r="N43" s="51">
        <v>76593.5405</v>
      </c>
      <c r="O43" s="50">
        <v>79469.263584</v>
      </c>
      <c r="P43" s="50">
        <v>90901.6552</v>
      </c>
      <c r="Q43" s="52">
        <v>92212.12776</v>
      </c>
      <c r="R43" s="53">
        <v>79730.57098</v>
      </c>
      <c r="S43" s="112">
        <v>79788.48545</v>
      </c>
      <c r="T43" s="50">
        <v>79587.73976</v>
      </c>
      <c r="U43" s="50">
        <v>82892.3</v>
      </c>
      <c r="V43" s="52">
        <v>82202.02961</v>
      </c>
      <c r="W43" s="55">
        <v>83745.93853</v>
      </c>
      <c r="X43" s="55">
        <v>87447.6</v>
      </c>
      <c r="Y43" s="272">
        <v>106047.9</v>
      </c>
      <c r="Z43" s="55">
        <v>104599.7</v>
      </c>
      <c r="AA43" s="50">
        <v>109917.2</v>
      </c>
      <c r="AB43" s="50">
        <v>111770.83</v>
      </c>
      <c r="AC43" s="50">
        <v>109999.8</v>
      </c>
      <c r="AD43" s="50">
        <v>113466.9</v>
      </c>
      <c r="AE43" s="64">
        <v>111318.85</v>
      </c>
      <c r="AF43" s="50">
        <v>113122.9</v>
      </c>
      <c r="AG43" s="65">
        <v>120226.8</v>
      </c>
      <c r="AH43" s="51">
        <v>125240.6</v>
      </c>
      <c r="AI43" s="55">
        <v>124540.1</v>
      </c>
      <c r="AJ43" s="66">
        <v>127966.2</v>
      </c>
      <c r="AK43" s="51">
        <v>136220.1</v>
      </c>
      <c r="AL43" s="51">
        <v>135835.24</v>
      </c>
      <c r="AM43" s="51">
        <v>135386.2</v>
      </c>
      <c r="AN43" s="51">
        <v>142040.25</v>
      </c>
      <c r="AO43" s="67">
        <v>142587.25</v>
      </c>
      <c r="AP43" s="67">
        <v>144211.7</v>
      </c>
      <c r="AQ43" s="67">
        <v>147196.3</v>
      </c>
      <c r="AR43" s="67">
        <v>146451.8</v>
      </c>
      <c r="AS43" s="67">
        <v>148055.68</v>
      </c>
      <c r="AT43" s="67">
        <v>156485.9</v>
      </c>
      <c r="AU43" s="67">
        <v>155932.7</v>
      </c>
      <c r="AV43" s="258">
        <v>161120.7</v>
      </c>
      <c r="AW43" s="67">
        <v>154898.5</v>
      </c>
      <c r="AX43" s="67">
        <v>157530.7</v>
      </c>
      <c r="AY43" s="67">
        <v>157530.1</v>
      </c>
      <c r="AZ43" s="67">
        <v>157282.9</v>
      </c>
      <c r="BA43" s="68">
        <v>159155.1</v>
      </c>
      <c r="BB43" s="68">
        <v>163142.7</v>
      </c>
      <c r="BC43" s="68">
        <v>162826.8</v>
      </c>
      <c r="BD43" s="68">
        <v>163583.9</v>
      </c>
      <c r="BE43" s="68">
        <v>164634</v>
      </c>
      <c r="BF43" s="68">
        <v>174811.4</v>
      </c>
      <c r="BG43" s="68">
        <v>176878.8</v>
      </c>
      <c r="BH43" s="258">
        <v>179544.9</v>
      </c>
      <c r="BI43" s="67">
        <v>180618.35</v>
      </c>
      <c r="BJ43" s="67">
        <v>185816.84</v>
      </c>
      <c r="BK43" s="67">
        <v>185937.4</v>
      </c>
      <c r="BL43" s="67">
        <v>187288.2</v>
      </c>
      <c r="BM43" s="67">
        <v>194124.14</v>
      </c>
      <c r="BN43" s="189">
        <v>195639.8</v>
      </c>
      <c r="BO43" s="67">
        <v>194323.5</v>
      </c>
      <c r="BP43" s="67">
        <v>195926.1</v>
      </c>
      <c r="BQ43" s="67">
        <v>196317.7</v>
      </c>
      <c r="BR43" s="67">
        <v>203906</v>
      </c>
      <c r="BS43" s="67">
        <v>205430.7</v>
      </c>
      <c r="BT43" s="242">
        <v>206429.1</v>
      </c>
      <c r="BU43" s="67">
        <v>205689.7</v>
      </c>
      <c r="BV43" s="67">
        <v>206902.9</v>
      </c>
      <c r="BW43" s="67">
        <v>207537.3</v>
      </c>
      <c r="BX43" s="67">
        <v>207372.9</v>
      </c>
      <c r="BY43" s="67">
        <v>217049.7</v>
      </c>
      <c r="BZ43" s="67">
        <v>210616.3</v>
      </c>
      <c r="CA43" s="67">
        <v>212782.2</v>
      </c>
      <c r="CB43" s="67">
        <v>216601</v>
      </c>
      <c r="CC43" s="67">
        <v>213110.5</v>
      </c>
      <c r="CD43" s="67">
        <v>217810.6</v>
      </c>
      <c r="CE43" s="67">
        <v>219159.5</v>
      </c>
      <c r="CF43" s="242">
        <v>219957.6</v>
      </c>
      <c r="CG43" s="242">
        <v>219267.6</v>
      </c>
      <c r="CH43" s="67">
        <v>230861.8</v>
      </c>
      <c r="CI43" s="67">
        <v>226138.1</v>
      </c>
      <c r="CJ43" s="67">
        <v>226832.4</v>
      </c>
      <c r="CK43" s="67">
        <v>227366</v>
      </c>
      <c r="CL43" s="67">
        <v>224428.8</v>
      </c>
      <c r="CM43" s="67">
        <v>224376.9</v>
      </c>
      <c r="CN43" s="67">
        <v>225794</v>
      </c>
      <c r="CO43" s="287">
        <v>226875.2</v>
      </c>
      <c r="CP43" s="67">
        <v>237267.8</v>
      </c>
      <c r="CQ43" s="67">
        <v>238928.8</v>
      </c>
      <c r="CR43" s="67">
        <v>240274.8</v>
      </c>
      <c r="CS43" s="67">
        <v>243310.7</v>
      </c>
      <c r="CT43" s="67">
        <v>244257.4</v>
      </c>
      <c r="CU43" s="67">
        <v>229137</v>
      </c>
      <c r="CV43" s="67">
        <v>256167.2</v>
      </c>
      <c r="CW43" s="67">
        <v>257341.9</v>
      </c>
      <c r="CX43" s="67">
        <v>260121.8</v>
      </c>
    </row>
    <row r="44" spans="1:102" ht="15">
      <c r="A44" s="90" t="s">
        <v>41</v>
      </c>
      <c r="B44" s="69">
        <f aca="true" t="shared" si="58" ref="B44:X44">SUM(B45:B46)</f>
        <v>25285.5</v>
      </c>
      <c r="C44" s="70">
        <f t="shared" si="58"/>
        <v>33776.4</v>
      </c>
      <c r="D44" s="71">
        <f t="shared" si="58"/>
        <v>43793.78</v>
      </c>
      <c r="E44" s="70">
        <f t="shared" si="58"/>
        <v>51136.82</v>
      </c>
      <c r="F44" s="70">
        <f t="shared" si="58"/>
        <v>55147.31614</v>
      </c>
      <c r="G44" s="70">
        <f t="shared" si="58"/>
        <v>56381.76</v>
      </c>
      <c r="H44" s="70">
        <f t="shared" si="58"/>
        <v>59868.520000000004</v>
      </c>
      <c r="I44" s="72">
        <f t="shared" si="58"/>
        <v>76149.6</v>
      </c>
      <c r="J44" s="70">
        <f t="shared" si="58"/>
        <v>100556.4</v>
      </c>
      <c r="K44" s="71">
        <f t="shared" si="58"/>
        <v>136493.8</v>
      </c>
      <c r="L44" s="72">
        <f t="shared" si="58"/>
        <v>182510.26032</v>
      </c>
      <c r="M44" s="70">
        <f t="shared" si="58"/>
        <v>178723.03447999997</v>
      </c>
      <c r="N44" s="70">
        <f t="shared" si="58"/>
        <v>181494.6265</v>
      </c>
      <c r="O44" s="72">
        <f t="shared" si="58"/>
        <v>187476.5</v>
      </c>
      <c r="P44" s="70">
        <f t="shared" si="58"/>
        <v>184007.58496</v>
      </c>
      <c r="Q44" s="70">
        <f t="shared" si="58"/>
        <v>189121.47608</v>
      </c>
      <c r="R44" s="72">
        <f t="shared" si="58"/>
        <v>202388.04462</v>
      </c>
      <c r="S44" s="72">
        <f t="shared" si="58"/>
        <v>192954.63157</v>
      </c>
      <c r="T44" s="72">
        <f t="shared" si="58"/>
        <v>195975.12888</v>
      </c>
      <c r="U44" s="72">
        <f t="shared" si="58"/>
        <v>200634.5</v>
      </c>
      <c r="V44" s="70">
        <f t="shared" si="58"/>
        <v>199580.80933</v>
      </c>
      <c r="W44" s="72">
        <f t="shared" si="58"/>
        <v>201455.63009</v>
      </c>
      <c r="X44" s="70">
        <f t="shared" si="58"/>
        <v>210388.6</v>
      </c>
      <c r="Y44" s="273">
        <v>226841.9</v>
      </c>
      <c r="Z44" s="266">
        <f aca="true" t="shared" si="59" ref="Z44:BI44">SUM(Z45:Z46)</f>
        <v>226822.34</v>
      </c>
      <c r="AA44" s="115">
        <f t="shared" si="59"/>
        <v>235942.1</v>
      </c>
      <c r="AB44" s="115">
        <f t="shared" si="59"/>
        <v>238452.7</v>
      </c>
      <c r="AC44" s="115">
        <f t="shared" si="59"/>
        <v>238986.59999999998</v>
      </c>
      <c r="AD44" s="72">
        <f t="shared" si="59"/>
        <v>239716.80000000002</v>
      </c>
      <c r="AE44" s="73">
        <f t="shared" si="59"/>
        <v>237881.7</v>
      </c>
      <c r="AF44" s="72">
        <f t="shared" si="59"/>
        <v>238895.5</v>
      </c>
      <c r="AG44" s="71">
        <f t="shared" si="59"/>
        <v>246545.91</v>
      </c>
      <c r="AH44" s="70">
        <f t="shared" si="59"/>
        <v>251459.30000000002</v>
      </c>
      <c r="AI44" s="74">
        <f t="shared" si="59"/>
        <v>246739.19999999998</v>
      </c>
      <c r="AJ44" s="69">
        <f t="shared" si="59"/>
        <v>252179.80000000002</v>
      </c>
      <c r="AK44" s="70">
        <f t="shared" si="59"/>
        <v>255987.19999999998</v>
      </c>
      <c r="AL44" s="70">
        <f t="shared" si="59"/>
        <v>259457.69999999998</v>
      </c>
      <c r="AM44" s="70">
        <f t="shared" si="59"/>
        <v>254545.9</v>
      </c>
      <c r="AN44" s="70">
        <f t="shared" si="59"/>
        <v>261542.09999999998</v>
      </c>
      <c r="AO44" s="75">
        <f t="shared" si="59"/>
        <v>255580.2</v>
      </c>
      <c r="AP44" s="75">
        <f t="shared" si="59"/>
        <v>257060.7</v>
      </c>
      <c r="AQ44" s="75">
        <f t="shared" si="59"/>
        <v>255083.90000000002</v>
      </c>
      <c r="AR44" s="75">
        <f t="shared" si="59"/>
        <v>255443.6</v>
      </c>
      <c r="AS44" s="75">
        <f t="shared" si="59"/>
        <v>253959.2</v>
      </c>
      <c r="AT44" s="75">
        <f t="shared" si="59"/>
        <v>261718.59999999998</v>
      </c>
      <c r="AU44" s="75">
        <f t="shared" si="59"/>
        <v>265653.6</v>
      </c>
      <c r="AV44" s="259">
        <f t="shared" si="59"/>
        <v>280763.8</v>
      </c>
      <c r="AW44" s="75">
        <f t="shared" si="59"/>
        <v>268239.7</v>
      </c>
      <c r="AX44" s="75">
        <f t="shared" si="59"/>
        <v>272404.3</v>
      </c>
      <c r="AY44" s="75">
        <f t="shared" si="59"/>
        <v>268935.10000000003</v>
      </c>
      <c r="AZ44" s="75">
        <f t="shared" si="59"/>
        <v>265250.9</v>
      </c>
      <c r="BA44" s="76">
        <f t="shared" si="59"/>
        <v>266229.1</v>
      </c>
      <c r="BB44" s="76">
        <f t="shared" si="59"/>
        <v>273834.7</v>
      </c>
      <c r="BC44" s="76">
        <f t="shared" si="59"/>
        <v>268640.8</v>
      </c>
      <c r="BD44" s="76">
        <f t="shared" si="59"/>
        <v>270339.9</v>
      </c>
      <c r="BE44" s="76">
        <f t="shared" si="59"/>
        <v>272131.4</v>
      </c>
      <c r="BF44" s="76">
        <f t="shared" si="59"/>
        <v>277077.8</v>
      </c>
      <c r="BG44" s="76">
        <f t="shared" si="59"/>
        <v>281841</v>
      </c>
      <c r="BH44" s="259">
        <f t="shared" si="59"/>
        <v>299142.6</v>
      </c>
      <c r="BI44" s="75">
        <f t="shared" si="59"/>
        <v>290246.1</v>
      </c>
      <c r="BJ44" s="75">
        <f aca="true" t="shared" si="60" ref="BJ44:BO44">SUM(BJ45:BJ46)</f>
        <v>294597.6</v>
      </c>
      <c r="BK44" s="75">
        <f t="shared" si="60"/>
        <v>293582.4</v>
      </c>
      <c r="BL44" s="75">
        <f t="shared" si="60"/>
        <v>297926.2</v>
      </c>
      <c r="BM44" s="75">
        <f t="shared" si="60"/>
        <v>306275.5</v>
      </c>
      <c r="BN44" s="75">
        <f t="shared" si="60"/>
        <v>302421.1</v>
      </c>
      <c r="BO44" s="75">
        <f t="shared" si="60"/>
        <v>300994.80000000005</v>
      </c>
      <c r="BP44" s="75">
        <f aca="true" t="shared" si="61" ref="BP44:BV44">SUM(BP45:BP46)</f>
        <v>296362.8</v>
      </c>
      <c r="BQ44" s="75">
        <f t="shared" si="61"/>
        <v>298090.6</v>
      </c>
      <c r="BR44" s="75">
        <f t="shared" si="61"/>
        <v>303627.5</v>
      </c>
      <c r="BS44" s="75">
        <f t="shared" si="61"/>
        <v>309343.8</v>
      </c>
      <c r="BT44" s="243">
        <f t="shared" si="61"/>
        <v>323039.3</v>
      </c>
      <c r="BU44" s="75">
        <f t="shared" si="61"/>
        <v>317877.3</v>
      </c>
      <c r="BV44" s="75">
        <f t="shared" si="61"/>
        <v>322256.7</v>
      </c>
      <c r="BW44" s="75">
        <f aca="true" t="shared" si="62" ref="BW44:CB44">SUM(BW45:BW46)</f>
        <v>326781</v>
      </c>
      <c r="BX44" s="75">
        <f t="shared" si="62"/>
        <v>326123.80000000005</v>
      </c>
      <c r="BY44" s="75">
        <f t="shared" si="62"/>
        <v>337023.19999999995</v>
      </c>
      <c r="BZ44" s="75">
        <f t="shared" si="62"/>
        <v>336593.4</v>
      </c>
      <c r="CA44" s="75">
        <f t="shared" si="62"/>
        <v>330993.9</v>
      </c>
      <c r="CB44" s="75">
        <f t="shared" si="62"/>
        <v>333090.5</v>
      </c>
      <c r="CC44" s="75">
        <f aca="true" t="shared" si="63" ref="CC44:CH44">SUM(CC45:CC46)</f>
        <v>328871.19999999995</v>
      </c>
      <c r="CD44" s="75">
        <f t="shared" si="63"/>
        <v>337195.7</v>
      </c>
      <c r="CE44" s="75">
        <f t="shared" si="63"/>
        <v>342564.6</v>
      </c>
      <c r="CF44" s="243">
        <f t="shared" si="63"/>
        <v>353016</v>
      </c>
      <c r="CG44" s="243">
        <f t="shared" si="63"/>
        <v>337601.69999999995</v>
      </c>
      <c r="CH44" s="75">
        <f t="shared" si="63"/>
        <v>357455</v>
      </c>
      <c r="CI44" s="75">
        <f>SUM(CI45:CI46)</f>
        <v>350874.69999999995</v>
      </c>
      <c r="CJ44" s="75">
        <f>SUM(CJ45:CJ46)</f>
        <v>352000.19999999995</v>
      </c>
      <c r="CK44" s="75">
        <f>SUM(CK45:CK46)</f>
        <v>353484.10000000003</v>
      </c>
      <c r="CL44" s="75">
        <f>SUM(CL45:CL46)</f>
        <v>357744.39999999997</v>
      </c>
      <c r="CM44" s="75">
        <f>SUM(CM45:CM46)</f>
        <v>355123</v>
      </c>
      <c r="CN44" s="75">
        <v>357931.19999999995</v>
      </c>
      <c r="CO44" s="288">
        <f>SUM(CO45:CO46)</f>
        <v>360343.07999999996</v>
      </c>
      <c r="CP44" s="75">
        <f>SUM(CP45:CP46)</f>
        <v>373820.7</v>
      </c>
      <c r="CQ44" s="75">
        <f>SUM(CQ45:CQ46)</f>
        <v>383834.6</v>
      </c>
      <c r="CR44" s="75">
        <v>384965</v>
      </c>
      <c r="CS44" s="75">
        <f>SUM(CS45:CS46)</f>
        <v>377126.1</v>
      </c>
      <c r="CT44" s="75">
        <v>380164.1</v>
      </c>
      <c r="CU44" s="75">
        <f>SUM(CU45:CU46)</f>
        <v>383574</v>
      </c>
      <c r="CV44" s="75">
        <f>SUM(CV45:CV46)</f>
        <v>394737.4</v>
      </c>
      <c r="CW44" s="75">
        <f>SUM(CW45:CW46)</f>
        <v>395296.1</v>
      </c>
      <c r="CX44" s="75">
        <f>SUM(CX45:CX46)</f>
        <v>391572.7</v>
      </c>
    </row>
    <row r="45" spans="1:102" ht="15">
      <c r="A45" s="100" t="s">
        <v>42</v>
      </c>
      <c r="B45" s="44">
        <f>5380.06+7370.36-B22-B15+4.6</f>
        <v>8096.42</v>
      </c>
      <c r="C45" s="45">
        <f>10059.5+2701.7</f>
        <v>12761.2</v>
      </c>
      <c r="D45" s="46">
        <f>13802.08+11561.21-D22-D15</f>
        <v>17195.69</v>
      </c>
      <c r="E45" s="47">
        <f>18506.35+11403.17-E22-E15</f>
        <v>21969.92</v>
      </c>
      <c r="F45" s="48">
        <f>17833.4+14389-F22-F15</f>
        <v>22565.300000000003</v>
      </c>
      <c r="G45" s="49">
        <f>15947.06+15942.9-G22-G15+243</f>
        <v>22749.36</v>
      </c>
      <c r="H45" s="48">
        <f>14938.7+25320.8-H22-H15+2.2</f>
        <v>19336.5</v>
      </c>
      <c r="I45" s="48">
        <v>22056.6</v>
      </c>
      <c r="J45" s="49">
        <v>31495.2</v>
      </c>
      <c r="K45" s="47">
        <f>26894.2+31040.2</f>
        <v>57934.4</v>
      </c>
      <c r="L45" s="50">
        <v>95049.07248</v>
      </c>
      <c r="M45" s="51">
        <v>95853.28291</v>
      </c>
      <c r="N45" s="51">
        <v>99885.7795</v>
      </c>
      <c r="O45" s="50">
        <v>103466.7</v>
      </c>
      <c r="P45" s="50">
        <v>100377.5644</v>
      </c>
      <c r="Q45" s="52">
        <v>101191.82568</v>
      </c>
      <c r="R45" s="53">
        <v>116743.93268</v>
      </c>
      <c r="S45" s="112">
        <v>110207.91632</v>
      </c>
      <c r="T45" s="50">
        <v>111044.04876</v>
      </c>
      <c r="U45" s="50">
        <v>114225.5</v>
      </c>
      <c r="V45" s="52">
        <v>111588.78669</v>
      </c>
      <c r="W45" s="55">
        <v>113551.16773</v>
      </c>
      <c r="X45" s="55">
        <v>115406.3</v>
      </c>
      <c r="Y45" s="272">
        <v>154559.85</v>
      </c>
      <c r="Z45" s="16">
        <v>163262.34</v>
      </c>
      <c r="AA45" s="102">
        <v>171420.1</v>
      </c>
      <c r="AB45" s="102">
        <v>171972.9</v>
      </c>
      <c r="AC45" s="102">
        <v>174603.8</v>
      </c>
      <c r="AD45" s="50">
        <v>181277.2</v>
      </c>
      <c r="AE45" s="64">
        <v>179100.6</v>
      </c>
      <c r="AF45" s="50">
        <v>180442.6</v>
      </c>
      <c r="AG45" s="58">
        <v>189578.35</v>
      </c>
      <c r="AH45" s="51">
        <v>192763.7</v>
      </c>
      <c r="AI45" s="55">
        <v>191036.55</v>
      </c>
      <c r="AJ45" s="66">
        <v>193674.7</v>
      </c>
      <c r="AK45" s="51">
        <v>205048.3</v>
      </c>
      <c r="AL45" s="51">
        <v>206772.8</v>
      </c>
      <c r="AM45" s="51">
        <v>204174.5</v>
      </c>
      <c r="AN45" s="51">
        <v>206778.9</v>
      </c>
      <c r="AO45" s="67">
        <v>202222</v>
      </c>
      <c r="AP45" s="67">
        <v>205090.6</v>
      </c>
      <c r="AQ45" s="67">
        <v>203968.2</v>
      </c>
      <c r="AR45" s="67">
        <v>205420.5</v>
      </c>
      <c r="AS45" s="67">
        <v>207048.2</v>
      </c>
      <c r="AT45" s="67">
        <v>210137.4</v>
      </c>
      <c r="AU45" s="67">
        <v>212529.4</v>
      </c>
      <c r="AV45" s="258">
        <v>216343.8</v>
      </c>
      <c r="AW45" s="67">
        <v>212318.55</v>
      </c>
      <c r="AX45" s="67">
        <v>215326.9</v>
      </c>
      <c r="AY45" s="67">
        <v>211607.7</v>
      </c>
      <c r="AZ45" s="67">
        <v>205350.7</v>
      </c>
      <c r="BA45" s="68">
        <v>207496.9</v>
      </c>
      <c r="BB45" s="68">
        <v>212213.3</v>
      </c>
      <c r="BC45" s="68">
        <v>208764.9</v>
      </c>
      <c r="BD45" s="68">
        <v>210619.9</v>
      </c>
      <c r="BE45" s="68">
        <v>212583.7</v>
      </c>
      <c r="BF45" s="68">
        <v>217068</v>
      </c>
      <c r="BG45" s="68">
        <v>220887.3</v>
      </c>
      <c r="BH45" s="258">
        <v>229871</v>
      </c>
      <c r="BI45" s="67">
        <v>221501.1</v>
      </c>
      <c r="BJ45" s="67">
        <v>223784.1</v>
      </c>
      <c r="BK45" s="67">
        <v>226983.5</v>
      </c>
      <c r="BL45" s="67">
        <v>229911.1</v>
      </c>
      <c r="BM45" s="67">
        <v>231519</v>
      </c>
      <c r="BN45" s="189">
        <v>227706.6</v>
      </c>
      <c r="BO45" s="67">
        <v>228142.7</v>
      </c>
      <c r="BP45" s="67">
        <v>224931.3</v>
      </c>
      <c r="BQ45" s="67">
        <v>227548.9</v>
      </c>
      <c r="BR45" s="67">
        <v>236747</v>
      </c>
      <c r="BS45" s="67">
        <v>238954.8</v>
      </c>
      <c r="BT45" s="242">
        <v>240873.5</v>
      </c>
      <c r="BU45" s="67">
        <v>241766.5</v>
      </c>
      <c r="BV45" s="67">
        <v>244113.2</v>
      </c>
      <c r="BW45" s="67">
        <v>247748.6</v>
      </c>
      <c r="BX45" s="67">
        <v>250055.2</v>
      </c>
      <c r="BY45" s="67">
        <v>261700.8</v>
      </c>
      <c r="BZ45" s="67">
        <v>257104.8</v>
      </c>
      <c r="CA45" s="67">
        <v>252342.9</v>
      </c>
      <c r="CB45" s="67">
        <v>255742.4</v>
      </c>
      <c r="CC45" s="67">
        <v>253521.8</v>
      </c>
      <c r="CD45" s="67">
        <v>258296</v>
      </c>
      <c r="CE45" s="67">
        <v>260260.5</v>
      </c>
      <c r="CF45" s="242">
        <v>261529.5</v>
      </c>
      <c r="CG45" s="242">
        <v>255960.3</v>
      </c>
      <c r="CH45" s="67">
        <v>269769.9</v>
      </c>
      <c r="CI45" s="67">
        <v>266963.1</v>
      </c>
      <c r="CJ45" s="67">
        <v>269935.3</v>
      </c>
      <c r="CK45" s="67">
        <v>272058.4</v>
      </c>
      <c r="CL45" s="67">
        <v>272105.1</v>
      </c>
      <c r="CM45" s="67">
        <v>275099.3</v>
      </c>
      <c r="CN45" s="67">
        <v>278179.8</v>
      </c>
      <c r="CO45" s="287">
        <v>281712.74</v>
      </c>
      <c r="CP45" s="67">
        <v>295584.9</v>
      </c>
      <c r="CQ45" s="67">
        <v>291297.7</v>
      </c>
      <c r="CR45" s="67">
        <v>296635.7</v>
      </c>
      <c r="CS45" s="67">
        <v>296413.2</v>
      </c>
      <c r="CT45" s="67">
        <v>293720.8</v>
      </c>
      <c r="CU45" s="67">
        <v>297604.9</v>
      </c>
      <c r="CV45" s="67">
        <v>301467.4</v>
      </c>
      <c r="CW45" s="67">
        <v>304473.6</v>
      </c>
      <c r="CX45" s="67">
        <v>301397.7</v>
      </c>
    </row>
    <row r="46" spans="1:102" ht="15.75" thickBot="1">
      <c r="A46" s="100" t="s">
        <v>43</v>
      </c>
      <c r="B46" s="44">
        <f>12448.1+82.38+B15+B22</f>
        <v>17189.08</v>
      </c>
      <c r="C46" s="45">
        <f>14531.5+6483.7</f>
        <v>21015.2</v>
      </c>
      <c r="D46" s="46">
        <f>18371+59.49+D22+D15</f>
        <v>26598.090000000004</v>
      </c>
      <c r="E46" s="47">
        <f>21120.4+106.9+E22+E15</f>
        <v>29166.9</v>
      </c>
      <c r="F46" s="48">
        <f>22757.83614+167.08+F22+F15</f>
        <v>32582.01614</v>
      </c>
      <c r="G46" s="49">
        <f>24063.7+185.1+G22+G15</f>
        <v>33632.4</v>
      </c>
      <c r="H46" s="48">
        <f>19100.52+506.3+H22+H15</f>
        <v>40532.020000000004</v>
      </c>
      <c r="I46" s="48">
        <v>54093</v>
      </c>
      <c r="J46" s="49">
        <v>69061.2</v>
      </c>
      <c r="K46" s="47">
        <v>78559.4</v>
      </c>
      <c r="L46" s="50">
        <v>87461.18784</v>
      </c>
      <c r="M46" s="51">
        <v>82869.75157</v>
      </c>
      <c r="N46" s="51">
        <v>81608.847</v>
      </c>
      <c r="O46" s="50">
        <v>84009.8</v>
      </c>
      <c r="P46" s="50">
        <v>83630.02056</v>
      </c>
      <c r="Q46" s="52">
        <v>87929.6504</v>
      </c>
      <c r="R46" s="53">
        <v>85644.11194</v>
      </c>
      <c r="S46" s="112">
        <v>82746.71525</v>
      </c>
      <c r="T46" s="50">
        <v>84931.08012</v>
      </c>
      <c r="U46" s="50">
        <v>86409</v>
      </c>
      <c r="V46" s="52">
        <v>87992.02264</v>
      </c>
      <c r="W46" s="55">
        <v>87904.46236</v>
      </c>
      <c r="X46" s="55">
        <v>94982.3</v>
      </c>
      <c r="Y46" s="272">
        <v>72282.05</v>
      </c>
      <c r="Z46" s="16">
        <v>63560</v>
      </c>
      <c r="AA46" s="102">
        <v>64522</v>
      </c>
      <c r="AB46" s="102">
        <v>66479.8</v>
      </c>
      <c r="AC46" s="102">
        <v>64382.8</v>
      </c>
      <c r="AD46" s="50">
        <v>58439.6</v>
      </c>
      <c r="AE46" s="116">
        <v>58781.1</v>
      </c>
      <c r="AF46" s="50">
        <v>58452.9</v>
      </c>
      <c r="AG46" s="117">
        <v>56967.56</v>
      </c>
      <c r="AH46" s="118">
        <v>58695.6</v>
      </c>
      <c r="AI46" s="55">
        <v>55702.65</v>
      </c>
      <c r="AJ46" s="66">
        <v>58505.1</v>
      </c>
      <c r="AK46" s="51">
        <v>50938.9</v>
      </c>
      <c r="AL46" s="51">
        <v>52684.9</v>
      </c>
      <c r="AM46" s="51">
        <v>50371.4</v>
      </c>
      <c r="AN46" s="51">
        <v>54763.2</v>
      </c>
      <c r="AO46" s="67">
        <v>53358.2</v>
      </c>
      <c r="AP46" s="67">
        <v>51970.1</v>
      </c>
      <c r="AQ46" s="67">
        <v>51115.7</v>
      </c>
      <c r="AR46" s="67">
        <v>50023.1</v>
      </c>
      <c r="AS46" s="67">
        <v>46911</v>
      </c>
      <c r="AT46" s="67">
        <v>51581.2</v>
      </c>
      <c r="AU46" s="67">
        <v>53124.2</v>
      </c>
      <c r="AV46" s="258">
        <v>64420</v>
      </c>
      <c r="AW46" s="67">
        <v>55921.15</v>
      </c>
      <c r="AX46" s="67">
        <v>57077.4</v>
      </c>
      <c r="AY46" s="67">
        <v>57327.4</v>
      </c>
      <c r="AZ46" s="67">
        <v>59900.2</v>
      </c>
      <c r="BA46" s="68">
        <v>58732.2</v>
      </c>
      <c r="BB46" s="68">
        <v>61621.4</v>
      </c>
      <c r="BC46" s="68">
        <v>59875.9</v>
      </c>
      <c r="BD46" s="68">
        <v>59720</v>
      </c>
      <c r="BE46" s="68">
        <v>59547.7</v>
      </c>
      <c r="BF46" s="68">
        <v>60009.8</v>
      </c>
      <c r="BG46" s="68">
        <v>60953.7</v>
      </c>
      <c r="BH46" s="258">
        <v>69271.6</v>
      </c>
      <c r="BI46" s="67">
        <v>68745</v>
      </c>
      <c r="BJ46" s="67">
        <v>70813.5</v>
      </c>
      <c r="BK46" s="67">
        <v>66598.9</v>
      </c>
      <c r="BL46" s="67">
        <v>68015.1</v>
      </c>
      <c r="BM46" s="67">
        <v>74756.5</v>
      </c>
      <c r="BN46" s="189">
        <v>74714.5</v>
      </c>
      <c r="BO46" s="67">
        <v>72852.1</v>
      </c>
      <c r="BP46" s="67">
        <v>71431.5</v>
      </c>
      <c r="BQ46" s="67">
        <v>70541.7</v>
      </c>
      <c r="BR46" s="67">
        <v>66880.5</v>
      </c>
      <c r="BS46" s="67">
        <v>70389</v>
      </c>
      <c r="BT46" s="242">
        <v>82165.8</v>
      </c>
      <c r="BU46" s="67">
        <v>76110.8</v>
      </c>
      <c r="BV46" s="67">
        <v>78143.5</v>
      </c>
      <c r="BW46" s="67">
        <v>79032.4</v>
      </c>
      <c r="BX46" s="67">
        <v>76068.6</v>
      </c>
      <c r="BY46" s="67">
        <v>75322.4</v>
      </c>
      <c r="BZ46" s="67">
        <v>79488.6</v>
      </c>
      <c r="CA46" s="67">
        <v>78651</v>
      </c>
      <c r="CB46" s="67">
        <v>77348.1</v>
      </c>
      <c r="CC46" s="67">
        <v>75349.4</v>
      </c>
      <c r="CD46" s="67">
        <v>78899.7</v>
      </c>
      <c r="CE46" s="67">
        <v>82304.1</v>
      </c>
      <c r="CF46" s="242">
        <v>91486.5</v>
      </c>
      <c r="CG46" s="242">
        <v>81641.4</v>
      </c>
      <c r="CH46" s="67">
        <v>87685.1</v>
      </c>
      <c r="CI46" s="67">
        <v>83911.6</v>
      </c>
      <c r="CJ46" s="67">
        <v>82064.9</v>
      </c>
      <c r="CK46" s="67">
        <v>81425.7</v>
      </c>
      <c r="CL46" s="67">
        <v>85639.3</v>
      </c>
      <c r="CM46" s="67">
        <v>80023.7</v>
      </c>
      <c r="CN46" s="67">
        <v>79751.4</v>
      </c>
      <c r="CO46" s="287">
        <v>78630.34</v>
      </c>
      <c r="CP46" s="67">
        <v>78235.8</v>
      </c>
      <c r="CQ46" s="67">
        <v>92536.9</v>
      </c>
      <c r="CR46" s="67">
        <v>88329.3</v>
      </c>
      <c r="CS46" s="67">
        <v>80712.9</v>
      </c>
      <c r="CT46" s="67">
        <v>86443.3</v>
      </c>
      <c r="CU46" s="67">
        <v>85969.1</v>
      </c>
      <c r="CV46" s="67">
        <v>93270</v>
      </c>
      <c r="CW46" s="67">
        <v>90822.5</v>
      </c>
      <c r="CX46" s="67">
        <v>90175</v>
      </c>
    </row>
    <row r="47" spans="1:102" ht="15.75" thickBot="1">
      <c r="A47" s="119" t="s">
        <v>44</v>
      </c>
      <c r="B47" s="120">
        <f aca="true" t="shared" si="64" ref="B47:X47">B50+B51</f>
        <v>3.3</v>
      </c>
      <c r="C47" s="121">
        <f t="shared" si="64"/>
        <v>41.4</v>
      </c>
      <c r="D47" s="122">
        <f t="shared" si="64"/>
        <v>73.6</v>
      </c>
      <c r="E47" s="121">
        <f t="shared" si="64"/>
        <v>226.6</v>
      </c>
      <c r="F47" s="121">
        <f t="shared" si="64"/>
        <v>672.4000000000001</v>
      </c>
      <c r="G47" s="121">
        <f t="shared" si="64"/>
        <v>2629.1</v>
      </c>
      <c r="H47" s="121">
        <f t="shared" si="64"/>
        <v>3472.3</v>
      </c>
      <c r="I47" s="123">
        <f t="shared" si="64"/>
        <v>6174.700000000001</v>
      </c>
      <c r="J47" s="121">
        <f t="shared" si="64"/>
        <v>9238.699999999999</v>
      </c>
      <c r="K47" s="122">
        <f t="shared" si="64"/>
        <v>10835.2</v>
      </c>
      <c r="L47" s="123">
        <f t="shared" si="64"/>
        <v>11948.925216</v>
      </c>
      <c r="M47" s="123">
        <f t="shared" si="64"/>
        <v>11658.64851</v>
      </c>
      <c r="N47" s="124">
        <f t="shared" si="64"/>
        <v>11612.776000000002</v>
      </c>
      <c r="O47" s="125">
        <f t="shared" si="64"/>
        <v>11504.005491</v>
      </c>
      <c r="P47" s="125">
        <f t="shared" si="64"/>
        <v>11466.9496</v>
      </c>
      <c r="Q47" s="126">
        <f t="shared" si="64"/>
        <v>11541.84824</v>
      </c>
      <c r="R47" s="127">
        <f t="shared" si="64"/>
        <v>11637.711319999999</v>
      </c>
      <c r="S47" s="125">
        <f t="shared" si="64"/>
        <v>11677.714100000001</v>
      </c>
      <c r="T47" s="125">
        <f t="shared" si="64"/>
        <v>11597.09276</v>
      </c>
      <c r="U47" s="125">
        <f t="shared" si="64"/>
        <v>11708.48778</v>
      </c>
      <c r="V47" s="126">
        <f t="shared" si="64"/>
        <v>11922.022079999999</v>
      </c>
      <c r="W47" s="125">
        <f t="shared" si="64"/>
        <v>11923.50922</v>
      </c>
      <c r="X47" s="126">
        <f t="shared" si="64"/>
        <v>12879.4</v>
      </c>
      <c r="Y47" s="277">
        <v>14000.7</v>
      </c>
      <c r="Z47" s="127">
        <f aca="true" t="shared" si="65" ref="Z47:BH47">Z50+Z51</f>
        <v>13816.3</v>
      </c>
      <c r="AA47" s="125">
        <f t="shared" si="65"/>
        <v>13794.1</v>
      </c>
      <c r="AB47" s="125">
        <f t="shared" si="65"/>
        <v>14185.900000000001</v>
      </c>
      <c r="AC47" s="125">
        <f t="shared" si="65"/>
        <v>14201.8</v>
      </c>
      <c r="AD47" s="125">
        <f t="shared" si="65"/>
        <v>14608.400000000001</v>
      </c>
      <c r="AE47" s="128">
        <f t="shared" si="65"/>
        <v>14723.8</v>
      </c>
      <c r="AF47" s="125">
        <f t="shared" si="65"/>
        <v>14762.1</v>
      </c>
      <c r="AG47" s="127">
        <f t="shared" si="65"/>
        <v>14750.4</v>
      </c>
      <c r="AH47" s="129">
        <f t="shared" si="65"/>
        <v>14754.3</v>
      </c>
      <c r="AI47" s="127">
        <f t="shared" si="65"/>
        <v>14791.1</v>
      </c>
      <c r="AJ47" s="124">
        <f t="shared" si="65"/>
        <v>14971.1</v>
      </c>
      <c r="AK47" s="126">
        <f t="shared" si="65"/>
        <v>14832.800000000001</v>
      </c>
      <c r="AL47" s="126">
        <f t="shared" si="65"/>
        <v>14920.9</v>
      </c>
      <c r="AM47" s="126">
        <f t="shared" si="65"/>
        <v>14848.9</v>
      </c>
      <c r="AN47" s="126">
        <f t="shared" si="65"/>
        <v>14852.099999999999</v>
      </c>
      <c r="AO47" s="129">
        <f t="shared" si="65"/>
        <v>14718.300000000001</v>
      </c>
      <c r="AP47" s="129">
        <f t="shared" si="65"/>
        <v>14691.2</v>
      </c>
      <c r="AQ47" s="129">
        <f t="shared" si="65"/>
        <v>14691.8</v>
      </c>
      <c r="AR47" s="129">
        <f t="shared" si="65"/>
        <v>14693.9</v>
      </c>
      <c r="AS47" s="129">
        <f t="shared" si="65"/>
        <v>14709</v>
      </c>
      <c r="AT47" s="129">
        <f t="shared" si="65"/>
        <v>14655.2</v>
      </c>
      <c r="AU47" s="129">
        <f t="shared" si="65"/>
        <v>14644.4</v>
      </c>
      <c r="AV47" s="263">
        <f t="shared" si="65"/>
        <v>14891.699999999999</v>
      </c>
      <c r="AW47" s="129">
        <f t="shared" si="65"/>
        <v>14677.6</v>
      </c>
      <c r="AX47" s="129">
        <f t="shared" si="65"/>
        <v>14865.4</v>
      </c>
      <c r="AY47" s="129">
        <f t="shared" si="65"/>
        <v>14758.33</v>
      </c>
      <c r="AZ47" s="129">
        <f t="shared" si="65"/>
        <v>14771.800000000001</v>
      </c>
      <c r="BA47" s="130">
        <f t="shared" si="65"/>
        <v>16990.7</v>
      </c>
      <c r="BB47" s="130">
        <f t="shared" si="65"/>
        <v>14781.7</v>
      </c>
      <c r="BC47" s="130">
        <f t="shared" si="65"/>
        <v>14722.5</v>
      </c>
      <c r="BD47" s="130">
        <f t="shared" si="65"/>
        <v>15195.900000000001</v>
      </c>
      <c r="BE47" s="130">
        <f t="shared" si="65"/>
        <v>15205.6</v>
      </c>
      <c r="BF47" s="130">
        <f t="shared" si="65"/>
        <v>15290.2</v>
      </c>
      <c r="BG47" s="130">
        <f t="shared" si="65"/>
        <v>15468.9</v>
      </c>
      <c r="BH47" s="263">
        <f t="shared" si="65"/>
        <v>16791.1</v>
      </c>
      <c r="BI47" s="129">
        <f aca="true" t="shared" si="66" ref="BI47:BN47">BI50+BI51</f>
        <v>16226.9</v>
      </c>
      <c r="BJ47" s="129">
        <f t="shared" si="66"/>
        <v>16100.900000000001</v>
      </c>
      <c r="BK47" s="129">
        <f t="shared" si="66"/>
        <v>15960.900000000001</v>
      </c>
      <c r="BL47" s="129">
        <f t="shared" si="66"/>
        <v>16110.599999999999</v>
      </c>
      <c r="BM47" s="129">
        <f t="shared" si="66"/>
        <v>16082.7</v>
      </c>
      <c r="BN47" s="129">
        <f t="shared" si="66"/>
        <v>16050.699999999999</v>
      </c>
      <c r="BO47" s="129">
        <f aca="true" t="shared" si="67" ref="BO47:BT47">BO50+BO51</f>
        <v>15973.599999999999</v>
      </c>
      <c r="BP47" s="129">
        <f t="shared" si="67"/>
        <v>15901.300000000001</v>
      </c>
      <c r="BQ47" s="129">
        <f t="shared" si="67"/>
        <v>15856.1</v>
      </c>
      <c r="BR47" s="129">
        <f t="shared" si="67"/>
        <v>15901.300000000001</v>
      </c>
      <c r="BS47" s="129">
        <f t="shared" si="67"/>
        <v>15944.4</v>
      </c>
      <c r="BT47" s="247">
        <f t="shared" si="67"/>
        <v>16040.9</v>
      </c>
      <c r="BU47" s="129">
        <f aca="true" t="shared" si="68" ref="BU47:BZ47">BU50+BU51</f>
        <v>15548.5</v>
      </c>
      <c r="BV47" s="129">
        <f t="shared" si="68"/>
        <v>15558.800000000001</v>
      </c>
      <c r="BW47" s="129">
        <f t="shared" si="68"/>
        <v>15790.3</v>
      </c>
      <c r="BX47" s="129">
        <f t="shared" si="68"/>
        <v>15648.9</v>
      </c>
      <c r="BY47" s="129">
        <f t="shared" si="68"/>
        <v>15462</v>
      </c>
      <c r="BZ47" s="129">
        <f t="shared" si="68"/>
        <v>15552.5</v>
      </c>
      <c r="CA47" s="129">
        <f aca="true" t="shared" si="69" ref="CA47:CF47">CA50+CA51</f>
        <v>15625.199999999999</v>
      </c>
      <c r="CB47" s="129">
        <f t="shared" si="69"/>
        <v>15611.599999999999</v>
      </c>
      <c r="CC47" s="129">
        <f t="shared" si="69"/>
        <v>15528.9</v>
      </c>
      <c r="CD47" s="129">
        <f t="shared" si="69"/>
        <v>15671.7</v>
      </c>
      <c r="CE47" s="129">
        <f t="shared" si="69"/>
        <v>15672.900000000001</v>
      </c>
      <c r="CF47" s="247">
        <f t="shared" si="69"/>
        <v>15433</v>
      </c>
      <c r="CG47" s="247">
        <f aca="true" t="shared" si="70" ref="CG47:CM47">CG50+CG51</f>
        <v>15354.4</v>
      </c>
      <c r="CH47" s="129">
        <f t="shared" si="70"/>
        <v>15252.4</v>
      </c>
      <c r="CI47" s="129">
        <f t="shared" si="70"/>
        <v>15160.6</v>
      </c>
      <c r="CJ47" s="129">
        <f t="shared" si="70"/>
        <v>15756.5</v>
      </c>
      <c r="CK47" s="129">
        <f t="shared" si="70"/>
        <v>15110.1</v>
      </c>
      <c r="CL47" s="129">
        <f t="shared" si="70"/>
        <v>15067.4</v>
      </c>
      <c r="CM47" s="129">
        <f t="shared" si="70"/>
        <v>14898.4</v>
      </c>
      <c r="CN47" s="129">
        <v>14256.1</v>
      </c>
      <c r="CO47" s="292">
        <f>CO50+CO51</f>
        <v>15369.099999999999</v>
      </c>
      <c r="CP47" s="129">
        <f>CP50+CP51</f>
        <v>15294.3</v>
      </c>
      <c r="CQ47" s="129">
        <f>CQ50+CQ51</f>
        <v>15529.8</v>
      </c>
      <c r="CR47" s="129">
        <v>15958</v>
      </c>
      <c r="CS47" s="129">
        <f>CS50+CS51</f>
        <v>15842</v>
      </c>
      <c r="CT47" s="129">
        <v>15963.6</v>
      </c>
      <c r="CU47" s="129">
        <f>CU50+CU51</f>
        <v>15873.4</v>
      </c>
      <c r="CV47" s="129">
        <f>CV50+CV51</f>
        <v>15746.5</v>
      </c>
      <c r="CW47" s="129">
        <f>CW50+CW51</f>
        <v>15637.6</v>
      </c>
      <c r="CX47" s="129">
        <f>CX50+CX51</f>
        <v>15984.5</v>
      </c>
    </row>
    <row r="48" spans="1:102" ht="15">
      <c r="A48" s="131" t="s">
        <v>45</v>
      </c>
      <c r="B48" s="44"/>
      <c r="C48" s="45"/>
      <c r="D48" s="46"/>
      <c r="E48" s="47"/>
      <c r="F48" s="48"/>
      <c r="G48" s="49"/>
      <c r="H48" s="49"/>
      <c r="I48" s="48"/>
      <c r="J48" s="49"/>
      <c r="K48" s="47"/>
      <c r="L48" s="132"/>
      <c r="M48" s="133"/>
      <c r="N48" s="51"/>
      <c r="O48" s="50"/>
      <c r="P48" s="132"/>
      <c r="Q48" s="52"/>
      <c r="R48" s="53"/>
      <c r="S48" s="134"/>
      <c r="T48" s="50"/>
      <c r="U48" s="50"/>
      <c r="V48" s="52"/>
      <c r="W48" s="55"/>
      <c r="X48" s="51"/>
      <c r="Y48" s="272"/>
      <c r="Z48" s="55"/>
      <c r="AA48" s="50"/>
      <c r="AB48" s="50"/>
      <c r="AC48" s="50"/>
      <c r="AD48" s="50"/>
      <c r="AE48" s="135"/>
      <c r="AF48" s="136"/>
      <c r="AG48" s="15"/>
      <c r="AH48" s="137"/>
      <c r="AI48" s="15"/>
      <c r="AJ48" s="138"/>
      <c r="AK48" s="139"/>
      <c r="AL48" s="139"/>
      <c r="AM48" s="139"/>
      <c r="AN48" s="139"/>
      <c r="AO48" s="140"/>
      <c r="AP48" s="140"/>
      <c r="AQ48" s="140"/>
      <c r="AR48" s="140"/>
      <c r="AS48" s="140"/>
      <c r="AT48" s="140"/>
      <c r="AU48" s="140"/>
      <c r="AV48" s="258"/>
      <c r="AW48" s="140"/>
      <c r="AX48" s="140"/>
      <c r="AY48" s="140"/>
      <c r="AZ48" s="140"/>
      <c r="BA48" s="141"/>
      <c r="BB48" s="141"/>
      <c r="BC48" s="141"/>
      <c r="BD48" s="141"/>
      <c r="BE48" s="142"/>
      <c r="BF48" s="142"/>
      <c r="BG48" s="143"/>
      <c r="BH48" s="258"/>
      <c r="BI48" s="67"/>
      <c r="BJ48" s="187"/>
      <c r="BK48" s="187"/>
      <c r="BL48" s="67"/>
      <c r="BM48" s="67"/>
      <c r="BN48" s="189"/>
      <c r="BO48" s="189"/>
      <c r="BP48" s="189"/>
      <c r="BQ48" s="189"/>
      <c r="BR48" s="189"/>
      <c r="BS48" s="189"/>
      <c r="BT48" s="242"/>
      <c r="BU48" s="189"/>
      <c r="BV48" s="67"/>
      <c r="BW48" s="67"/>
      <c r="BX48" s="67"/>
      <c r="BY48" s="67"/>
      <c r="BZ48" s="67"/>
      <c r="CA48" s="67"/>
      <c r="CB48" s="67"/>
      <c r="CC48" s="67"/>
      <c r="CD48" s="67"/>
      <c r="CE48" s="187"/>
      <c r="CF48" s="248"/>
      <c r="CG48" s="248"/>
      <c r="CH48" s="187"/>
      <c r="CI48" s="187"/>
      <c r="CJ48" s="187"/>
      <c r="CK48" s="187"/>
      <c r="CL48" s="187"/>
      <c r="CM48" s="187"/>
      <c r="CN48" s="187"/>
      <c r="CO48" s="287"/>
      <c r="CP48" s="67"/>
      <c r="CQ48" s="187"/>
      <c r="CR48" s="67"/>
      <c r="CS48" s="67"/>
      <c r="CT48" s="67"/>
      <c r="CU48" s="67"/>
      <c r="CV48" s="67"/>
      <c r="CW48" s="67"/>
      <c r="CX48" s="67"/>
    </row>
    <row r="49" spans="1:102" ht="15">
      <c r="A49" s="34" t="s">
        <v>5</v>
      </c>
      <c r="B49" s="69">
        <f aca="true" t="shared" si="71" ref="B49:X49">B51+B50</f>
        <v>3.3</v>
      </c>
      <c r="C49" s="70">
        <f t="shared" si="71"/>
        <v>41.4</v>
      </c>
      <c r="D49" s="71">
        <f t="shared" si="71"/>
        <v>73.6</v>
      </c>
      <c r="E49" s="70">
        <f t="shared" si="71"/>
        <v>226.6</v>
      </c>
      <c r="F49" s="70">
        <f t="shared" si="71"/>
        <v>672.4000000000001</v>
      </c>
      <c r="G49" s="70">
        <f t="shared" si="71"/>
        <v>2629.1</v>
      </c>
      <c r="H49" s="70">
        <f t="shared" si="71"/>
        <v>3472.3</v>
      </c>
      <c r="I49" s="72">
        <f t="shared" si="71"/>
        <v>6174.700000000001</v>
      </c>
      <c r="J49" s="70">
        <f t="shared" si="71"/>
        <v>9238.699999999999</v>
      </c>
      <c r="K49" s="71">
        <f t="shared" si="71"/>
        <v>10835.2</v>
      </c>
      <c r="L49" s="72">
        <f t="shared" si="71"/>
        <v>11948.925216</v>
      </c>
      <c r="M49" s="70">
        <f t="shared" si="71"/>
        <v>11658.64851</v>
      </c>
      <c r="N49" s="70">
        <f t="shared" si="71"/>
        <v>11612.776000000002</v>
      </c>
      <c r="O49" s="72">
        <f t="shared" si="71"/>
        <v>11504.005491</v>
      </c>
      <c r="P49" s="70">
        <f t="shared" si="71"/>
        <v>11466.9496</v>
      </c>
      <c r="Q49" s="70">
        <f t="shared" si="71"/>
        <v>11541.84824</v>
      </c>
      <c r="R49" s="72">
        <f t="shared" si="71"/>
        <v>11637.711319999999</v>
      </c>
      <c r="S49" s="72">
        <f t="shared" si="71"/>
        <v>11677.714100000001</v>
      </c>
      <c r="T49" s="72">
        <f t="shared" si="71"/>
        <v>11597.09276</v>
      </c>
      <c r="U49" s="72">
        <f t="shared" si="71"/>
        <v>11708.48778</v>
      </c>
      <c r="V49" s="70">
        <f t="shared" si="71"/>
        <v>11922.022079999999</v>
      </c>
      <c r="W49" s="72">
        <f t="shared" si="71"/>
        <v>11923.50922</v>
      </c>
      <c r="X49" s="70">
        <f t="shared" si="71"/>
        <v>12879.4</v>
      </c>
      <c r="Y49" s="273">
        <v>14000.7</v>
      </c>
      <c r="Z49" s="74">
        <f aca="true" t="shared" si="72" ref="Z49:BI49">Z51+Z50</f>
        <v>13816.3</v>
      </c>
      <c r="AA49" s="72">
        <f t="shared" si="72"/>
        <v>13794.1</v>
      </c>
      <c r="AB49" s="72">
        <f t="shared" si="72"/>
        <v>14185.900000000001</v>
      </c>
      <c r="AC49" s="72">
        <f t="shared" si="72"/>
        <v>14201.8</v>
      </c>
      <c r="AD49" s="72">
        <f t="shared" si="72"/>
        <v>14608.400000000001</v>
      </c>
      <c r="AE49" s="73">
        <f t="shared" si="72"/>
        <v>14723.8</v>
      </c>
      <c r="AF49" s="72">
        <f t="shared" si="72"/>
        <v>14762.1</v>
      </c>
      <c r="AG49" s="70">
        <f t="shared" si="72"/>
        <v>14750.4</v>
      </c>
      <c r="AH49" s="71">
        <f t="shared" si="72"/>
        <v>14754.3</v>
      </c>
      <c r="AI49" s="74">
        <f t="shared" si="72"/>
        <v>14791.1</v>
      </c>
      <c r="AJ49" s="69">
        <f t="shared" si="72"/>
        <v>14971.1</v>
      </c>
      <c r="AK49" s="70">
        <f t="shared" si="72"/>
        <v>14832.800000000001</v>
      </c>
      <c r="AL49" s="70">
        <f t="shared" si="72"/>
        <v>14920.9</v>
      </c>
      <c r="AM49" s="70">
        <f t="shared" si="72"/>
        <v>14848.9</v>
      </c>
      <c r="AN49" s="70">
        <f t="shared" si="72"/>
        <v>14852.099999999999</v>
      </c>
      <c r="AO49" s="75">
        <f t="shared" si="72"/>
        <v>14718.300000000001</v>
      </c>
      <c r="AP49" s="75">
        <f t="shared" si="72"/>
        <v>14691.2</v>
      </c>
      <c r="AQ49" s="75">
        <f t="shared" si="72"/>
        <v>14691.8</v>
      </c>
      <c r="AR49" s="75">
        <f t="shared" si="72"/>
        <v>14693.9</v>
      </c>
      <c r="AS49" s="75">
        <f t="shared" si="72"/>
        <v>14709</v>
      </c>
      <c r="AT49" s="75">
        <f t="shared" si="72"/>
        <v>14655.2</v>
      </c>
      <c r="AU49" s="75">
        <f t="shared" si="72"/>
        <v>14644.4</v>
      </c>
      <c r="AV49" s="259">
        <f t="shared" si="72"/>
        <v>14891.699999999999</v>
      </c>
      <c r="AW49" s="75">
        <f t="shared" si="72"/>
        <v>14677.6</v>
      </c>
      <c r="AX49" s="75">
        <f t="shared" si="72"/>
        <v>14865.4</v>
      </c>
      <c r="AY49" s="75">
        <f t="shared" si="72"/>
        <v>14758.33</v>
      </c>
      <c r="AZ49" s="75">
        <f t="shared" si="72"/>
        <v>14771.800000000001</v>
      </c>
      <c r="BA49" s="76">
        <f t="shared" si="72"/>
        <v>16990.7</v>
      </c>
      <c r="BB49" s="76">
        <f t="shared" si="72"/>
        <v>14781.7</v>
      </c>
      <c r="BC49" s="76">
        <f t="shared" si="72"/>
        <v>14722.5</v>
      </c>
      <c r="BD49" s="76">
        <f t="shared" si="72"/>
        <v>15195.900000000001</v>
      </c>
      <c r="BE49" s="76">
        <f t="shared" si="72"/>
        <v>15205.6</v>
      </c>
      <c r="BF49" s="76">
        <f t="shared" si="72"/>
        <v>15290.2</v>
      </c>
      <c r="BG49" s="76">
        <f t="shared" si="72"/>
        <v>15468.9</v>
      </c>
      <c r="BH49" s="259">
        <f t="shared" si="72"/>
        <v>16791.1</v>
      </c>
      <c r="BI49" s="75">
        <f t="shared" si="72"/>
        <v>16226.9</v>
      </c>
      <c r="BJ49" s="75">
        <f aca="true" t="shared" si="73" ref="BJ49:BO49">BJ51+BJ50</f>
        <v>16100.900000000001</v>
      </c>
      <c r="BK49" s="75">
        <f t="shared" si="73"/>
        <v>15960.900000000001</v>
      </c>
      <c r="BL49" s="75">
        <f t="shared" si="73"/>
        <v>16110.599999999999</v>
      </c>
      <c r="BM49" s="75">
        <f t="shared" si="73"/>
        <v>16082.7</v>
      </c>
      <c r="BN49" s="75">
        <f t="shared" si="73"/>
        <v>16050.699999999999</v>
      </c>
      <c r="BO49" s="75">
        <f t="shared" si="73"/>
        <v>15973.599999999999</v>
      </c>
      <c r="BP49" s="75">
        <f aca="true" t="shared" si="74" ref="BP49:BV49">BP51+BP50</f>
        <v>15901.300000000001</v>
      </c>
      <c r="BQ49" s="75">
        <f t="shared" si="74"/>
        <v>15856.1</v>
      </c>
      <c r="BR49" s="75">
        <f t="shared" si="74"/>
        <v>15901.300000000001</v>
      </c>
      <c r="BS49" s="75">
        <f t="shared" si="74"/>
        <v>15944.4</v>
      </c>
      <c r="BT49" s="243">
        <f t="shared" si="74"/>
        <v>16040.9</v>
      </c>
      <c r="BU49" s="75">
        <f t="shared" si="74"/>
        <v>15548.5</v>
      </c>
      <c r="BV49" s="75">
        <f t="shared" si="74"/>
        <v>15558.800000000001</v>
      </c>
      <c r="BW49" s="75">
        <f aca="true" t="shared" si="75" ref="BW49:CB49">BW51+BW50</f>
        <v>15790.3</v>
      </c>
      <c r="BX49" s="75">
        <f t="shared" si="75"/>
        <v>15648.9</v>
      </c>
      <c r="BY49" s="75">
        <f t="shared" si="75"/>
        <v>15462</v>
      </c>
      <c r="BZ49" s="75">
        <f t="shared" si="75"/>
        <v>15552.5</v>
      </c>
      <c r="CA49" s="75">
        <f t="shared" si="75"/>
        <v>15625.199999999999</v>
      </c>
      <c r="CB49" s="75">
        <f t="shared" si="75"/>
        <v>15611.599999999999</v>
      </c>
      <c r="CC49" s="75">
        <f aca="true" t="shared" si="76" ref="CC49:CH49">CC51+CC50</f>
        <v>15528.9</v>
      </c>
      <c r="CD49" s="75">
        <f t="shared" si="76"/>
        <v>15671.7</v>
      </c>
      <c r="CE49" s="75">
        <f t="shared" si="76"/>
        <v>15672.900000000001</v>
      </c>
      <c r="CF49" s="243">
        <f t="shared" si="76"/>
        <v>15433</v>
      </c>
      <c r="CG49" s="243">
        <f t="shared" si="76"/>
        <v>15354.4</v>
      </c>
      <c r="CH49" s="75">
        <f t="shared" si="76"/>
        <v>15252.4</v>
      </c>
      <c r="CI49" s="75">
        <f>CI51+CI50</f>
        <v>15160.6</v>
      </c>
      <c r="CJ49" s="75">
        <f>CJ51+CJ50</f>
        <v>15756.5</v>
      </c>
      <c r="CK49" s="75">
        <f>CK51+CK50</f>
        <v>15110.1</v>
      </c>
      <c r="CL49" s="75">
        <f>CL51+CL50</f>
        <v>15067.4</v>
      </c>
      <c r="CM49" s="75">
        <f>CM51+CM50</f>
        <v>14898.4</v>
      </c>
      <c r="CN49" s="75">
        <v>14256.1</v>
      </c>
      <c r="CO49" s="288">
        <f>CO51+CO50</f>
        <v>15369.099999999999</v>
      </c>
      <c r="CP49" s="75">
        <f>CP51+CP50</f>
        <v>15294.3</v>
      </c>
      <c r="CQ49" s="75">
        <f>CQ51+CQ50</f>
        <v>15529.8</v>
      </c>
      <c r="CR49" s="75">
        <v>15958</v>
      </c>
      <c r="CS49" s="75">
        <f>CS51+CS50</f>
        <v>15842</v>
      </c>
      <c r="CT49" s="75">
        <v>15963.6</v>
      </c>
      <c r="CU49" s="75">
        <f>CU51+CU50</f>
        <v>15873.4</v>
      </c>
      <c r="CV49" s="75">
        <f>CV51+CV50</f>
        <v>15746.5</v>
      </c>
      <c r="CW49" s="75">
        <f>CW51+CW50</f>
        <v>15637.6</v>
      </c>
      <c r="CX49" s="75">
        <f>CX51+CX50</f>
        <v>15984.5</v>
      </c>
    </row>
    <row r="50" spans="1:102" ht="15">
      <c r="A50" s="43" t="s">
        <v>6</v>
      </c>
      <c r="B50" s="44">
        <v>3.3</v>
      </c>
      <c r="C50" s="45">
        <v>41.4</v>
      </c>
      <c r="D50" s="47">
        <v>63.5</v>
      </c>
      <c r="E50" s="144">
        <v>196.7</v>
      </c>
      <c r="F50" s="49">
        <v>341</v>
      </c>
      <c r="G50" s="49">
        <f>616+1842.2</f>
        <v>2458.2</v>
      </c>
      <c r="H50" s="49">
        <f>1434.6+1754.4</f>
        <v>3189</v>
      </c>
      <c r="I50" s="48">
        <v>5606.1</v>
      </c>
      <c r="J50" s="49">
        <v>8530.8</v>
      </c>
      <c r="K50" s="47">
        <v>10090.2</v>
      </c>
      <c r="L50" s="50">
        <v>11065.780576</v>
      </c>
      <c r="M50" s="51">
        <v>10861.25494</v>
      </c>
      <c r="N50" s="51">
        <v>10873.79</v>
      </c>
      <c r="O50" s="50">
        <v>10765.000123</v>
      </c>
      <c r="P50" s="50">
        <v>10750.38128</v>
      </c>
      <c r="Q50" s="52">
        <v>10849.00784</v>
      </c>
      <c r="R50" s="53">
        <v>10948.36574</v>
      </c>
      <c r="S50" s="54">
        <v>10993.78296</v>
      </c>
      <c r="T50" s="50">
        <v>10992.24028</v>
      </c>
      <c r="U50" s="50">
        <v>11098.54933</v>
      </c>
      <c r="V50" s="52">
        <v>11331.55129</v>
      </c>
      <c r="W50" s="55">
        <v>11322.02852</v>
      </c>
      <c r="X50" s="48">
        <v>12199.6</v>
      </c>
      <c r="Y50" s="272">
        <v>13302.8</v>
      </c>
      <c r="Z50" s="55">
        <v>13171</v>
      </c>
      <c r="AA50" s="50">
        <v>13154.2</v>
      </c>
      <c r="AB50" s="50">
        <v>13532.2</v>
      </c>
      <c r="AC50" s="50">
        <v>13569.5</v>
      </c>
      <c r="AD50" s="50">
        <v>13964.7</v>
      </c>
      <c r="AE50" s="64">
        <v>14143</v>
      </c>
      <c r="AF50" s="50">
        <v>14205.35</v>
      </c>
      <c r="AG50" s="58">
        <v>14199.5</v>
      </c>
      <c r="AH50" s="77">
        <v>14205</v>
      </c>
      <c r="AI50" s="55">
        <v>14257.1</v>
      </c>
      <c r="AJ50" s="66">
        <v>14376.2</v>
      </c>
      <c r="AK50" s="51">
        <v>14308.2</v>
      </c>
      <c r="AL50" s="51">
        <v>14346</v>
      </c>
      <c r="AM50" s="51">
        <v>14279.6</v>
      </c>
      <c r="AN50" s="51">
        <v>14276.8</v>
      </c>
      <c r="AO50" s="67">
        <v>14155.6</v>
      </c>
      <c r="AP50" s="67">
        <v>14134</v>
      </c>
      <c r="AQ50" s="67">
        <v>14133.8</v>
      </c>
      <c r="AR50" s="67">
        <v>14124.8</v>
      </c>
      <c r="AS50" s="67">
        <v>14140.8</v>
      </c>
      <c r="AT50" s="67">
        <v>14115.1</v>
      </c>
      <c r="AU50" s="67">
        <v>14119.4</v>
      </c>
      <c r="AV50" s="258">
        <v>14360.3</v>
      </c>
      <c r="AW50" s="67">
        <v>14141.5</v>
      </c>
      <c r="AX50" s="67">
        <v>14346.8</v>
      </c>
      <c r="AY50" s="67">
        <v>14237.8</v>
      </c>
      <c r="AZ50" s="67">
        <v>14258.7</v>
      </c>
      <c r="BA50" s="68">
        <v>16467.9</v>
      </c>
      <c r="BB50" s="68">
        <v>14257</v>
      </c>
      <c r="BC50" s="68">
        <v>14200.9</v>
      </c>
      <c r="BD50" s="68">
        <v>14674.7</v>
      </c>
      <c r="BE50" s="68">
        <v>14682</v>
      </c>
      <c r="BF50" s="68">
        <v>14707.6</v>
      </c>
      <c r="BG50" s="68">
        <v>14889.8</v>
      </c>
      <c r="BH50" s="258">
        <v>16185.1</v>
      </c>
      <c r="BI50" s="67">
        <v>15659</v>
      </c>
      <c r="BJ50" s="67">
        <v>15539.7</v>
      </c>
      <c r="BK50" s="67">
        <v>15382.2</v>
      </c>
      <c r="BL50" s="67">
        <v>15513.3</v>
      </c>
      <c r="BM50" s="67">
        <v>15488.2</v>
      </c>
      <c r="BN50" s="189">
        <v>15413.3</v>
      </c>
      <c r="BO50" s="67">
        <v>15350.8</v>
      </c>
      <c r="BP50" s="67">
        <v>15259.1</v>
      </c>
      <c r="BQ50" s="67">
        <v>15216.5</v>
      </c>
      <c r="BR50" s="67">
        <v>15257.7</v>
      </c>
      <c r="BS50" s="67">
        <v>15308.9</v>
      </c>
      <c r="BT50" s="242">
        <v>15446.1</v>
      </c>
      <c r="BU50" s="67">
        <v>14934.1</v>
      </c>
      <c r="BV50" s="67">
        <v>14948.6</v>
      </c>
      <c r="BW50" s="67">
        <v>15190.3</v>
      </c>
      <c r="BX50" s="67">
        <v>15048.5</v>
      </c>
      <c r="BY50" s="67">
        <v>14879.2</v>
      </c>
      <c r="BZ50" s="67">
        <v>14975</v>
      </c>
      <c r="CA50" s="67">
        <v>15049.8</v>
      </c>
      <c r="CB50" s="67">
        <v>15036.8</v>
      </c>
      <c r="CC50" s="67">
        <v>14958.4</v>
      </c>
      <c r="CD50" s="67">
        <v>15092.5</v>
      </c>
      <c r="CE50" s="67">
        <v>15093.7</v>
      </c>
      <c r="CF50" s="242">
        <v>14844.5</v>
      </c>
      <c r="CG50" s="242">
        <v>14755.6</v>
      </c>
      <c r="CH50" s="67">
        <v>14661.4</v>
      </c>
      <c r="CI50" s="67">
        <v>14576.9</v>
      </c>
      <c r="CJ50" s="67">
        <v>15174</v>
      </c>
      <c r="CK50" s="67">
        <v>14521.5</v>
      </c>
      <c r="CL50" s="67">
        <v>14483.3</v>
      </c>
      <c r="CM50" s="67">
        <v>14417.5</v>
      </c>
      <c r="CN50" s="67">
        <v>13685.6</v>
      </c>
      <c r="CO50" s="287">
        <v>14796.3</v>
      </c>
      <c r="CP50" s="67">
        <v>14723.4</v>
      </c>
      <c r="CQ50" s="67">
        <v>14964</v>
      </c>
      <c r="CR50" s="67">
        <v>15406.6</v>
      </c>
      <c r="CS50" s="67">
        <v>15290</v>
      </c>
      <c r="CT50" s="67">
        <v>15418.4</v>
      </c>
      <c r="CU50" s="67">
        <v>15315</v>
      </c>
      <c r="CV50" s="67">
        <v>15191.3</v>
      </c>
      <c r="CW50" s="67">
        <v>15100.5</v>
      </c>
      <c r="CX50" s="67">
        <v>15454.1</v>
      </c>
    </row>
    <row r="51" spans="1:102" ht="15">
      <c r="A51" s="43" t="s">
        <v>7</v>
      </c>
      <c r="B51" s="44">
        <v>0</v>
      </c>
      <c r="C51" s="145">
        <v>0</v>
      </c>
      <c r="D51" s="49">
        <v>10.1</v>
      </c>
      <c r="E51" s="49">
        <v>29.9</v>
      </c>
      <c r="F51" s="49">
        <f>267.6+63.8</f>
        <v>331.40000000000003</v>
      </c>
      <c r="G51" s="49">
        <f>55.7+115.2</f>
        <v>170.9</v>
      </c>
      <c r="H51" s="49">
        <f>108.1+175.2</f>
        <v>283.29999999999995</v>
      </c>
      <c r="I51" s="48">
        <v>568.6</v>
      </c>
      <c r="J51" s="49">
        <v>707.9</v>
      </c>
      <c r="K51" s="47">
        <v>745</v>
      </c>
      <c r="L51" s="50">
        <v>883.14464</v>
      </c>
      <c r="M51" s="51">
        <v>797.39357</v>
      </c>
      <c r="N51" s="51">
        <v>738.986</v>
      </c>
      <c r="O51" s="50">
        <v>739.005368</v>
      </c>
      <c r="P51" s="50">
        <v>716.56832</v>
      </c>
      <c r="Q51" s="52">
        <v>692.8404</v>
      </c>
      <c r="R51" s="53">
        <v>689.34558</v>
      </c>
      <c r="S51" s="54">
        <v>683.93114</v>
      </c>
      <c r="T51" s="50">
        <v>604.85248</v>
      </c>
      <c r="U51" s="50">
        <v>609.93845</v>
      </c>
      <c r="V51" s="52">
        <v>590.47079</v>
      </c>
      <c r="W51" s="55">
        <v>601.4807</v>
      </c>
      <c r="X51" s="48">
        <v>679.8</v>
      </c>
      <c r="Y51" s="272">
        <v>697.9</v>
      </c>
      <c r="Z51" s="55">
        <v>645.3</v>
      </c>
      <c r="AA51" s="50">
        <v>639.9</v>
      </c>
      <c r="AB51" s="50">
        <v>653.7</v>
      </c>
      <c r="AC51" s="50">
        <v>632.3</v>
      </c>
      <c r="AD51" s="50">
        <v>643.7</v>
      </c>
      <c r="AE51" s="64">
        <v>580.8</v>
      </c>
      <c r="AF51" s="50">
        <v>556.75</v>
      </c>
      <c r="AG51" s="65">
        <v>550.9</v>
      </c>
      <c r="AH51" s="77">
        <v>549.3</v>
      </c>
      <c r="AI51" s="55">
        <v>534</v>
      </c>
      <c r="AJ51" s="66">
        <v>594.9</v>
      </c>
      <c r="AK51" s="51">
        <v>524.6</v>
      </c>
      <c r="AL51" s="51">
        <v>574.9</v>
      </c>
      <c r="AM51" s="51">
        <v>569.3</v>
      </c>
      <c r="AN51" s="51">
        <v>575.3</v>
      </c>
      <c r="AO51" s="67">
        <v>562.7</v>
      </c>
      <c r="AP51" s="67">
        <v>557.2</v>
      </c>
      <c r="AQ51" s="67">
        <v>558</v>
      </c>
      <c r="AR51" s="67">
        <v>569.1</v>
      </c>
      <c r="AS51" s="67">
        <v>568.2</v>
      </c>
      <c r="AT51" s="67">
        <v>540.1</v>
      </c>
      <c r="AU51" s="67">
        <v>525</v>
      </c>
      <c r="AV51" s="258">
        <v>531.4</v>
      </c>
      <c r="AW51" s="67">
        <v>536.1</v>
      </c>
      <c r="AX51" s="67">
        <v>518.6</v>
      </c>
      <c r="AY51" s="67">
        <v>520.53</v>
      </c>
      <c r="AZ51" s="67">
        <v>513.1</v>
      </c>
      <c r="BA51" s="68">
        <v>522.8</v>
      </c>
      <c r="BB51" s="68">
        <v>524.7</v>
      </c>
      <c r="BC51" s="68">
        <v>521.6</v>
      </c>
      <c r="BD51" s="68">
        <v>521.2</v>
      </c>
      <c r="BE51" s="68">
        <v>523.6</v>
      </c>
      <c r="BF51" s="68">
        <v>582.6</v>
      </c>
      <c r="BG51" s="68">
        <v>579.1</v>
      </c>
      <c r="BH51" s="258">
        <v>606</v>
      </c>
      <c r="BI51" s="67">
        <v>567.9</v>
      </c>
      <c r="BJ51" s="67">
        <v>561.2</v>
      </c>
      <c r="BK51" s="67">
        <v>578.7</v>
      </c>
      <c r="BL51" s="67">
        <v>597.3</v>
      </c>
      <c r="BM51" s="67">
        <v>594.5</v>
      </c>
      <c r="BN51" s="189">
        <v>637.4</v>
      </c>
      <c r="BO51" s="67">
        <v>622.8</v>
      </c>
      <c r="BP51" s="67">
        <v>642.2</v>
      </c>
      <c r="BQ51" s="67">
        <v>639.6</v>
      </c>
      <c r="BR51" s="67">
        <v>643.6</v>
      </c>
      <c r="BS51" s="67">
        <v>635.5</v>
      </c>
      <c r="BT51" s="242">
        <v>594.8</v>
      </c>
      <c r="BU51" s="67">
        <v>614.4</v>
      </c>
      <c r="BV51" s="67">
        <v>610.2</v>
      </c>
      <c r="BW51" s="67">
        <v>600</v>
      </c>
      <c r="BX51" s="67">
        <v>600.4</v>
      </c>
      <c r="BY51" s="67">
        <v>582.8</v>
      </c>
      <c r="BZ51" s="67">
        <v>577.5</v>
      </c>
      <c r="CA51" s="67">
        <v>575.4</v>
      </c>
      <c r="CB51" s="67">
        <v>574.8</v>
      </c>
      <c r="CC51" s="67">
        <v>570.5</v>
      </c>
      <c r="CD51" s="67">
        <v>579.2</v>
      </c>
      <c r="CE51" s="67">
        <v>579.2</v>
      </c>
      <c r="CF51" s="242">
        <v>588.5</v>
      </c>
      <c r="CG51" s="242">
        <v>598.8</v>
      </c>
      <c r="CH51" s="67">
        <v>591</v>
      </c>
      <c r="CI51" s="67">
        <v>583.7</v>
      </c>
      <c r="CJ51" s="67">
        <v>582.5</v>
      </c>
      <c r="CK51" s="67">
        <v>588.6</v>
      </c>
      <c r="CL51" s="67">
        <v>584.1</v>
      </c>
      <c r="CM51" s="67">
        <v>480.9</v>
      </c>
      <c r="CN51" s="67">
        <v>570.5</v>
      </c>
      <c r="CO51" s="287">
        <v>572.8</v>
      </c>
      <c r="CP51" s="67">
        <v>570.9</v>
      </c>
      <c r="CQ51" s="67">
        <v>565.8</v>
      </c>
      <c r="CR51" s="67">
        <v>551.4</v>
      </c>
      <c r="CS51" s="67">
        <v>552</v>
      </c>
      <c r="CT51" s="67">
        <v>545.2</v>
      </c>
      <c r="CU51" s="67">
        <v>558.4</v>
      </c>
      <c r="CV51" s="67">
        <v>555.2</v>
      </c>
      <c r="CW51" s="67">
        <v>537.1</v>
      </c>
      <c r="CX51" s="67">
        <v>530.4</v>
      </c>
    </row>
    <row r="52" spans="1:102" ht="15">
      <c r="A52" s="90" t="s">
        <v>46</v>
      </c>
      <c r="B52" s="146">
        <f aca="true" t="shared" si="77" ref="B52:X52">B53+B54+B55</f>
        <v>3.3</v>
      </c>
      <c r="C52" s="70">
        <f t="shared" si="77"/>
        <v>41.4</v>
      </c>
      <c r="D52" s="70">
        <f t="shared" si="77"/>
        <v>73.6474614</v>
      </c>
      <c r="E52" s="70">
        <f t="shared" si="77"/>
        <v>226.633176</v>
      </c>
      <c r="F52" s="70">
        <f t="shared" si="77"/>
        <v>672.35</v>
      </c>
      <c r="G52" s="70">
        <f t="shared" si="77"/>
        <v>2629.1000000000004</v>
      </c>
      <c r="H52" s="72">
        <f t="shared" si="77"/>
        <v>3472.2627758</v>
      </c>
      <c r="I52" s="70">
        <f t="shared" si="77"/>
        <v>6174.7</v>
      </c>
      <c r="J52" s="70">
        <f t="shared" si="77"/>
        <v>9238.6</v>
      </c>
      <c r="K52" s="71">
        <f t="shared" si="77"/>
        <v>10835.2</v>
      </c>
      <c r="L52" s="72">
        <f t="shared" si="77"/>
        <v>11948.908064000001</v>
      </c>
      <c r="M52" s="70">
        <f t="shared" si="77"/>
        <v>11658.64851</v>
      </c>
      <c r="N52" s="70">
        <f t="shared" si="77"/>
        <v>11612.776</v>
      </c>
      <c r="O52" s="72">
        <f t="shared" si="77"/>
        <v>11504.005491</v>
      </c>
      <c r="P52" s="70">
        <f t="shared" si="77"/>
        <v>11466.9496</v>
      </c>
      <c r="Q52" s="70">
        <f t="shared" si="77"/>
        <v>11541.84824</v>
      </c>
      <c r="R52" s="72">
        <f t="shared" si="77"/>
        <v>11637.71132</v>
      </c>
      <c r="S52" s="72">
        <f t="shared" si="77"/>
        <v>11677.714100000001</v>
      </c>
      <c r="T52" s="72">
        <f t="shared" si="77"/>
        <v>11597.09276</v>
      </c>
      <c r="U52" s="72">
        <f t="shared" si="77"/>
        <v>11708.5</v>
      </c>
      <c r="V52" s="70">
        <f t="shared" si="77"/>
        <v>11922.02208</v>
      </c>
      <c r="W52" s="72">
        <f t="shared" si="77"/>
        <v>11923.50922</v>
      </c>
      <c r="X52" s="70">
        <f t="shared" si="77"/>
        <v>12879.359999999999</v>
      </c>
      <c r="Y52" s="273">
        <v>14000.7</v>
      </c>
      <c r="Z52" s="74">
        <f aca="true" t="shared" si="78" ref="Z52:BI52">Z53+Z54+Z55</f>
        <v>13816.300000000001</v>
      </c>
      <c r="AA52" s="72">
        <f t="shared" si="78"/>
        <v>13794.1</v>
      </c>
      <c r="AB52" s="72">
        <f t="shared" si="78"/>
        <v>14185.899999999998</v>
      </c>
      <c r="AC52" s="72">
        <f t="shared" si="78"/>
        <v>14201.8</v>
      </c>
      <c r="AD52" s="72">
        <f t="shared" si="78"/>
        <v>14608.36</v>
      </c>
      <c r="AE52" s="73">
        <f t="shared" si="78"/>
        <v>14723.800000000001</v>
      </c>
      <c r="AF52" s="72">
        <f t="shared" si="78"/>
        <v>14762.1</v>
      </c>
      <c r="AG52" s="71">
        <f t="shared" si="78"/>
        <v>14750.4</v>
      </c>
      <c r="AH52" s="71">
        <f t="shared" si="78"/>
        <v>14754.3</v>
      </c>
      <c r="AI52" s="74">
        <f t="shared" si="78"/>
        <v>14791.087480000002</v>
      </c>
      <c r="AJ52" s="69">
        <f t="shared" si="78"/>
        <v>14917.054</v>
      </c>
      <c r="AK52" s="70">
        <f t="shared" si="78"/>
        <v>14832.93</v>
      </c>
      <c r="AL52" s="70">
        <f t="shared" si="78"/>
        <v>14920.9</v>
      </c>
      <c r="AM52" s="70">
        <f t="shared" si="78"/>
        <v>14848.900000000001</v>
      </c>
      <c r="AN52" s="70">
        <f t="shared" si="78"/>
        <v>14852.1</v>
      </c>
      <c r="AO52" s="75">
        <f t="shared" si="78"/>
        <v>14718.300000000001</v>
      </c>
      <c r="AP52" s="75">
        <f t="shared" si="78"/>
        <v>14691.2</v>
      </c>
      <c r="AQ52" s="75">
        <f t="shared" si="78"/>
        <v>14691.800000000001</v>
      </c>
      <c r="AR52" s="75">
        <f t="shared" si="78"/>
        <v>14693.899999999998</v>
      </c>
      <c r="AS52" s="75">
        <f t="shared" si="78"/>
        <v>14709</v>
      </c>
      <c r="AT52" s="75">
        <f t="shared" si="78"/>
        <v>14655.199999999999</v>
      </c>
      <c r="AU52" s="75">
        <f t="shared" si="78"/>
        <v>14644.4</v>
      </c>
      <c r="AV52" s="259">
        <f t="shared" si="78"/>
        <v>14891.7</v>
      </c>
      <c r="AW52" s="75">
        <f t="shared" si="78"/>
        <v>14677.699999999999</v>
      </c>
      <c r="AX52" s="75">
        <f t="shared" si="78"/>
        <v>14865.4</v>
      </c>
      <c r="AY52" s="75">
        <f t="shared" si="78"/>
        <v>14758.34</v>
      </c>
      <c r="AZ52" s="75">
        <f t="shared" si="78"/>
        <v>14771.8</v>
      </c>
      <c r="BA52" s="76">
        <f t="shared" si="78"/>
        <v>16990.7</v>
      </c>
      <c r="BB52" s="76">
        <f t="shared" si="78"/>
        <v>14781.699999999999</v>
      </c>
      <c r="BC52" s="76">
        <f t="shared" si="78"/>
        <v>14722.5</v>
      </c>
      <c r="BD52" s="76">
        <f t="shared" si="78"/>
        <v>15195.9</v>
      </c>
      <c r="BE52" s="76">
        <f t="shared" si="78"/>
        <v>15205.6</v>
      </c>
      <c r="BF52" s="76">
        <f t="shared" si="78"/>
        <v>15290.2</v>
      </c>
      <c r="BG52" s="76">
        <f t="shared" si="78"/>
        <v>15468.9</v>
      </c>
      <c r="BH52" s="259">
        <f t="shared" si="78"/>
        <v>16791.100000000002</v>
      </c>
      <c r="BI52" s="75">
        <f t="shared" si="78"/>
        <v>16226.900000000001</v>
      </c>
      <c r="BJ52" s="75">
        <f aca="true" t="shared" si="79" ref="BJ52:BO52">BJ53+BJ54+BJ55</f>
        <v>16100.9</v>
      </c>
      <c r="BK52" s="75">
        <f t="shared" si="79"/>
        <v>15960.899999999998</v>
      </c>
      <c r="BL52" s="75">
        <f t="shared" si="79"/>
        <v>16110.600000000002</v>
      </c>
      <c r="BM52" s="75">
        <f t="shared" si="79"/>
        <v>16082.7</v>
      </c>
      <c r="BN52" s="75">
        <f t="shared" si="79"/>
        <v>16050.7</v>
      </c>
      <c r="BO52" s="75">
        <f t="shared" si="79"/>
        <v>15973.599999999999</v>
      </c>
      <c r="BP52" s="75">
        <f aca="true" t="shared" si="80" ref="BP52:BV52">BP53+BP54+BP55</f>
        <v>15901.300000000001</v>
      </c>
      <c r="BQ52" s="75">
        <f t="shared" si="80"/>
        <v>15856.1</v>
      </c>
      <c r="BR52" s="75">
        <f t="shared" si="80"/>
        <v>15901.3</v>
      </c>
      <c r="BS52" s="75">
        <f t="shared" si="80"/>
        <v>15944.400000000001</v>
      </c>
      <c r="BT52" s="243">
        <f t="shared" si="80"/>
        <v>16040.9</v>
      </c>
      <c r="BU52" s="75">
        <f t="shared" si="80"/>
        <v>15548.5</v>
      </c>
      <c r="BV52" s="75">
        <f t="shared" si="80"/>
        <v>15558.8</v>
      </c>
      <c r="BW52" s="75">
        <f aca="true" t="shared" si="81" ref="BW52:CB52">BW53+BW54+BW55</f>
        <v>15790.3</v>
      </c>
      <c r="BX52" s="75">
        <f t="shared" si="81"/>
        <v>15648.9</v>
      </c>
      <c r="BY52" s="75">
        <f t="shared" si="81"/>
        <v>15462</v>
      </c>
      <c r="BZ52" s="75">
        <f t="shared" si="81"/>
        <v>15552.5</v>
      </c>
      <c r="CA52" s="75">
        <f t="shared" si="81"/>
        <v>15625.2</v>
      </c>
      <c r="CB52" s="75">
        <f t="shared" si="81"/>
        <v>15611.599999999999</v>
      </c>
      <c r="CC52" s="75">
        <f aca="true" t="shared" si="82" ref="CC52:CH52">CC53+CC54+CC55</f>
        <v>15528.9</v>
      </c>
      <c r="CD52" s="75">
        <f t="shared" si="82"/>
        <v>15671.7</v>
      </c>
      <c r="CE52" s="75">
        <f t="shared" si="82"/>
        <v>15672.900000000001</v>
      </c>
      <c r="CF52" s="243">
        <f t="shared" si="82"/>
        <v>15433</v>
      </c>
      <c r="CG52" s="243">
        <f t="shared" si="82"/>
        <v>15354.4</v>
      </c>
      <c r="CH52" s="75">
        <f t="shared" si="82"/>
        <v>15252.3</v>
      </c>
      <c r="CI52" s="75">
        <f>CI53+CI54+CI55</f>
        <v>15160.6</v>
      </c>
      <c r="CJ52" s="75">
        <f>CJ53+CJ54+CJ55</f>
        <v>15756.5</v>
      </c>
      <c r="CK52" s="75">
        <f>CK53+CK54+CK55</f>
        <v>15110.1</v>
      </c>
      <c r="CL52" s="75">
        <f>CL53+CL54+CL55</f>
        <v>15067.4</v>
      </c>
      <c r="CM52" s="75">
        <f>CM53+CM54+CM55</f>
        <v>14898.400000000001</v>
      </c>
      <c r="CN52" s="75">
        <v>14256.099999999999</v>
      </c>
      <c r="CO52" s="288">
        <f>CO53+CO54+CO55</f>
        <v>15369.1</v>
      </c>
      <c r="CP52" s="75">
        <f>CP53+CP54+CP55</f>
        <v>15294.3</v>
      </c>
      <c r="CQ52" s="75">
        <f>CQ53+CQ54+CQ55</f>
        <v>15529.8</v>
      </c>
      <c r="CR52" s="75">
        <v>15958</v>
      </c>
      <c r="CS52" s="75">
        <f>CS53+CS54+CS55</f>
        <v>15841.999999999998</v>
      </c>
      <c r="CT52" s="75">
        <v>15963.599999999999</v>
      </c>
      <c r="CU52" s="75">
        <f>CU53+CU54+CU55</f>
        <v>15873.399999999998</v>
      </c>
      <c r="CV52" s="75">
        <f>CV53+CV54+CV55</f>
        <v>15746.499999999998</v>
      </c>
      <c r="CW52" s="75">
        <f>CW53+CW54+CW55</f>
        <v>15637.6</v>
      </c>
      <c r="CX52" s="75">
        <f>CX53+CX54+CX55</f>
        <v>15984.5</v>
      </c>
    </row>
    <row r="53" spans="1:102" ht="15">
      <c r="A53" s="100" t="s">
        <v>47</v>
      </c>
      <c r="B53" s="147">
        <v>3.3</v>
      </c>
      <c r="C53" s="45">
        <v>41.4</v>
      </c>
      <c r="D53" s="49">
        <v>63.5</v>
      </c>
      <c r="E53" s="49">
        <v>196.7</v>
      </c>
      <c r="F53" s="49">
        <f>341+267.6</f>
        <v>608.6</v>
      </c>
      <c r="G53" s="148">
        <v>671.7</v>
      </c>
      <c r="H53" s="144">
        <f>1316.87+62.56+4.014*H59+0.2</f>
        <v>1393.2041437999999</v>
      </c>
      <c r="I53" s="49">
        <v>3296.6</v>
      </c>
      <c r="J53" s="49">
        <v>5422.5</v>
      </c>
      <c r="K53" s="47">
        <v>6494.86</v>
      </c>
      <c r="L53" s="50">
        <v>7210.891584</v>
      </c>
      <c r="M53" s="51">
        <v>7063.47147</v>
      </c>
      <c r="N53" s="51">
        <v>7104.688189</v>
      </c>
      <c r="O53" s="50">
        <v>7089.8458715</v>
      </c>
      <c r="P53" s="50">
        <v>7108.81472</v>
      </c>
      <c r="Q53" s="52">
        <v>7140.98144</v>
      </c>
      <c r="R53" s="53">
        <v>7109.86343</v>
      </c>
      <c r="S53" s="54">
        <v>7068.33948</v>
      </c>
      <c r="T53" s="50">
        <v>7078.95332</v>
      </c>
      <c r="U53" s="50">
        <v>7053.9</v>
      </c>
      <c r="V53" s="52">
        <v>7269.85911</v>
      </c>
      <c r="W53" s="55">
        <v>7235.45596</v>
      </c>
      <c r="X53" s="51">
        <v>7715.58</v>
      </c>
      <c r="Y53" s="272">
        <v>8162</v>
      </c>
      <c r="Z53" s="55">
        <v>8137.84</v>
      </c>
      <c r="AA53" s="50">
        <v>8129.5</v>
      </c>
      <c r="AB53" s="50">
        <v>8439.3</v>
      </c>
      <c r="AC53" s="50">
        <v>8580.9</v>
      </c>
      <c r="AD53" s="50">
        <v>8863.43</v>
      </c>
      <c r="AE53" s="64">
        <v>8857.15</v>
      </c>
      <c r="AF53" s="50">
        <v>8839.3</v>
      </c>
      <c r="AG53" s="77">
        <v>8803.3</v>
      </c>
      <c r="AH53" s="77">
        <v>8807.3</v>
      </c>
      <c r="AI53" s="55">
        <v>8853.39916</v>
      </c>
      <c r="AJ53" s="66">
        <v>8758.5</v>
      </c>
      <c r="AK53" s="51">
        <v>8843.1</v>
      </c>
      <c r="AL53" s="51">
        <v>8815.5</v>
      </c>
      <c r="AM53" s="51">
        <v>8807.7</v>
      </c>
      <c r="AN53" s="51">
        <v>8767.9</v>
      </c>
      <c r="AO53" s="67">
        <v>8733.7</v>
      </c>
      <c r="AP53" s="67">
        <v>8705</v>
      </c>
      <c r="AQ53" s="67">
        <v>8711.1</v>
      </c>
      <c r="AR53" s="67">
        <v>8729.4</v>
      </c>
      <c r="AS53" s="67">
        <v>8772.4</v>
      </c>
      <c r="AT53" s="67">
        <v>8744.5</v>
      </c>
      <c r="AU53" s="67">
        <v>8743.3</v>
      </c>
      <c r="AV53" s="258">
        <v>8725.8</v>
      </c>
      <c r="AW53" s="67">
        <v>8744</v>
      </c>
      <c r="AX53" s="67">
        <v>8759.9</v>
      </c>
      <c r="AY53" s="67">
        <v>8703.2</v>
      </c>
      <c r="AZ53" s="67">
        <v>8738.9</v>
      </c>
      <c r="BA53" s="68">
        <v>10937.1</v>
      </c>
      <c r="BB53" s="68">
        <v>10954</v>
      </c>
      <c r="BC53" s="68">
        <v>10954.8</v>
      </c>
      <c r="BD53" s="68">
        <v>11324.8</v>
      </c>
      <c r="BE53" s="68">
        <v>11327</v>
      </c>
      <c r="BF53" s="68">
        <v>11354.2</v>
      </c>
      <c r="BG53" s="68">
        <v>11545</v>
      </c>
      <c r="BH53" s="258">
        <v>12882.7</v>
      </c>
      <c r="BI53" s="67">
        <v>12256.1</v>
      </c>
      <c r="BJ53" s="67">
        <v>12215.4</v>
      </c>
      <c r="BK53" s="67">
        <v>12157.3</v>
      </c>
      <c r="BL53" s="67">
        <v>12337.2</v>
      </c>
      <c r="BM53" s="67">
        <v>12308.5</v>
      </c>
      <c r="BN53" s="189">
        <v>12307</v>
      </c>
      <c r="BO53" s="67">
        <v>12295.8</v>
      </c>
      <c r="BP53" s="67">
        <v>12309.2</v>
      </c>
      <c r="BQ53" s="67">
        <v>12293.7</v>
      </c>
      <c r="BR53" s="67">
        <v>12354.5</v>
      </c>
      <c r="BS53" s="67">
        <v>12425.7</v>
      </c>
      <c r="BT53" s="242">
        <v>12526.3</v>
      </c>
      <c r="BU53" s="67">
        <v>12104</v>
      </c>
      <c r="BV53" s="67">
        <v>12124.3</v>
      </c>
      <c r="BW53" s="67">
        <v>12395.5</v>
      </c>
      <c r="BX53" s="67">
        <v>12366.6</v>
      </c>
      <c r="BY53" s="67">
        <v>12233.5</v>
      </c>
      <c r="BZ53" s="67">
        <v>12273.8</v>
      </c>
      <c r="CA53" s="67">
        <v>12373.6</v>
      </c>
      <c r="CB53" s="67">
        <v>12335.8</v>
      </c>
      <c r="CC53" s="67">
        <v>12289.1</v>
      </c>
      <c r="CD53" s="67">
        <v>12394.8</v>
      </c>
      <c r="CE53" s="67">
        <v>12394.1</v>
      </c>
      <c r="CF53" s="242">
        <v>12321.9</v>
      </c>
      <c r="CG53" s="242">
        <v>12252.8</v>
      </c>
      <c r="CH53" s="67">
        <v>12165.8</v>
      </c>
      <c r="CI53" s="67">
        <v>12101.7</v>
      </c>
      <c r="CJ53" s="67">
        <v>12710.2</v>
      </c>
      <c r="CK53" s="67">
        <v>12105</v>
      </c>
      <c r="CL53" s="67">
        <v>12084.5</v>
      </c>
      <c r="CM53" s="67">
        <v>11945.1</v>
      </c>
      <c r="CN53" s="67">
        <v>11307.9</v>
      </c>
      <c r="CO53" s="287">
        <v>12429.9</v>
      </c>
      <c r="CP53" s="67">
        <v>12353.5</v>
      </c>
      <c r="CQ53" s="67">
        <v>12632.3</v>
      </c>
      <c r="CR53" s="67">
        <v>12939</v>
      </c>
      <c r="CS53" s="67">
        <v>12802.8</v>
      </c>
      <c r="CT53" s="67">
        <v>12822.3</v>
      </c>
      <c r="CU53" s="67">
        <v>12731.8</v>
      </c>
      <c r="CV53" s="67">
        <v>12701.3</v>
      </c>
      <c r="CW53" s="67">
        <v>12678</v>
      </c>
      <c r="CX53" s="67">
        <v>13070.5</v>
      </c>
    </row>
    <row r="54" spans="1:102" ht="15">
      <c r="A54" s="100" t="s">
        <v>24</v>
      </c>
      <c r="B54" s="147">
        <v>0</v>
      </c>
      <c r="C54" s="45">
        <v>0</v>
      </c>
      <c r="D54" s="49">
        <v>10.1474614</v>
      </c>
      <c r="E54" s="49">
        <v>29.933176</v>
      </c>
      <c r="F54" s="49">
        <v>63.75</v>
      </c>
      <c r="G54" s="49">
        <v>1957.4</v>
      </c>
      <c r="H54" s="49">
        <f>116.27+39.2+566.96*H59</f>
        <v>2072.758632</v>
      </c>
      <c r="I54" s="49">
        <v>2843.9</v>
      </c>
      <c r="J54" s="49">
        <v>3783.1</v>
      </c>
      <c r="K54" s="47">
        <v>4321.14</v>
      </c>
      <c r="L54" s="50">
        <v>4726.81648</v>
      </c>
      <c r="M54" s="51">
        <v>4584.30704</v>
      </c>
      <c r="N54" s="51">
        <v>4497.44715</v>
      </c>
      <c r="O54" s="50">
        <v>4404.308614</v>
      </c>
      <c r="P54" s="50">
        <v>4349.73488</v>
      </c>
      <c r="Q54" s="52">
        <v>4392.1068</v>
      </c>
      <c r="R54" s="53">
        <v>4518.87789</v>
      </c>
      <c r="S54" s="54">
        <v>4601.01462</v>
      </c>
      <c r="T54" s="50">
        <v>4510.95944</v>
      </c>
      <c r="U54" s="50">
        <v>4646.1</v>
      </c>
      <c r="V54" s="52">
        <v>4644.85297</v>
      </c>
      <c r="W54" s="55">
        <v>4680.29626</v>
      </c>
      <c r="X54" s="51">
        <v>5157.38</v>
      </c>
      <c r="Y54" s="272">
        <v>5836.9</v>
      </c>
      <c r="Z54" s="55">
        <v>5676.56</v>
      </c>
      <c r="AA54" s="50">
        <v>5662.7</v>
      </c>
      <c r="AB54" s="50">
        <v>5744.8</v>
      </c>
      <c r="AC54" s="50">
        <v>5619.2</v>
      </c>
      <c r="AD54" s="50">
        <v>5743.13</v>
      </c>
      <c r="AE54" s="64">
        <v>5866.05</v>
      </c>
      <c r="AF54" s="50">
        <v>5922.2</v>
      </c>
      <c r="AG54" s="77">
        <v>5946.6</v>
      </c>
      <c r="AH54" s="77">
        <v>5946.5</v>
      </c>
      <c r="AI54" s="55">
        <v>5937.25832</v>
      </c>
      <c r="AJ54" s="66">
        <v>6158.5</v>
      </c>
      <c r="AK54" s="51">
        <v>5989.4</v>
      </c>
      <c r="AL54" s="51">
        <v>6042.8</v>
      </c>
      <c r="AM54" s="51">
        <v>5980.7</v>
      </c>
      <c r="AN54" s="51">
        <v>6024.1</v>
      </c>
      <c r="AO54" s="67">
        <v>5935.9</v>
      </c>
      <c r="AP54" s="67">
        <v>5891</v>
      </c>
      <c r="AQ54" s="67">
        <v>5934.6</v>
      </c>
      <c r="AR54" s="67">
        <v>5917.7</v>
      </c>
      <c r="AS54" s="67">
        <v>5889</v>
      </c>
      <c r="AT54" s="67">
        <v>5864.4</v>
      </c>
      <c r="AU54" s="67">
        <v>5855.5</v>
      </c>
      <c r="AV54" s="258">
        <v>6118.2</v>
      </c>
      <c r="AW54" s="67">
        <v>5882.9</v>
      </c>
      <c r="AX54" s="67">
        <v>6054.4</v>
      </c>
      <c r="AY54" s="67">
        <v>6006.44</v>
      </c>
      <c r="AZ54" s="67">
        <v>5989.2</v>
      </c>
      <c r="BA54" s="68">
        <v>6010.3</v>
      </c>
      <c r="BB54" s="68">
        <v>3786.3</v>
      </c>
      <c r="BC54" s="68">
        <v>3725</v>
      </c>
      <c r="BD54" s="68">
        <v>3833.5</v>
      </c>
      <c r="BE54" s="68">
        <v>3841.2</v>
      </c>
      <c r="BF54" s="68">
        <v>3897.7</v>
      </c>
      <c r="BG54" s="68">
        <v>3884</v>
      </c>
      <c r="BH54" s="258">
        <v>3874</v>
      </c>
      <c r="BI54" s="67">
        <v>3936.3</v>
      </c>
      <c r="BJ54" s="67">
        <v>3853</v>
      </c>
      <c r="BK54" s="67">
        <v>3775.3</v>
      </c>
      <c r="BL54" s="67">
        <v>3745.2</v>
      </c>
      <c r="BM54" s="67">
        <v>3748.2</v>
      </c>
      <c r="BN54" s="189">
        <v>3717.6</v>
      </c>
      <c r="BO54" s="67">
        <v>3652</v>
      </c>
      <c r="BP54" s="67">
        <v>3566.5</v>
      </c>
      <c r="BQ54" s="67">
        <v>3540</v>
      </c>
      <c r="BR54" s="67">
        <v>3525.3</v>
      </c>
      <c r="BS54" s="67">
        <v>3499.2</v>
      </c>
      <c r="BT54" s="242">
        <v>3498.2</v>
      </c>
      <c r="BU54" s="67">
        <v>3428.5</v>
      </c>
      <c r="BV54" s="67">
        <v>3420</v>
      </c>
      <c r="BW54" s="67">
        <v>3381.9</v>
      </c>
      <c r="BX54" s="67">
        <v>3273</v>
      </c>
      <c r="BY54" s="67">
        <v>3220.4</v>
      </c>
      <c r="BZ54" s="67">
        <v>3270.7</v>
      </c>
      <c r="CA54" s="67">
        <v>3243.6</v>
      </c>
      <c r="CB54" s="67">
        <v>3270.8</v>
      </c>
      <c r="CC54" s="67">
        <v>3236.2</v>
      </c>
      <c r="CD54" s="67">
        <v>3273.7</v>
      </c>
      <c r="CE54" s="67">
        <v>3275.6</v>
      </c>
      <c r="CF54" s="242">
        <v>3107.9</v>
      </c>
      <c r="CG54" s="242">
        <v>3098.5</v>
      </c>
      <c r="CH54" s="67">
        <v>3083.4</v>
      </c>
      <c r="CI54" s="67">
        <v>3055.8</v>
      </c>
      <c r="CJ54" s="67">
        <v>3043.3</v>
      </c>
      <c r="CK54" s="67">
        <v>3002</v>
      </c>
      <c r="CL54" s="67">
        <v>2979.8</v>
      </c>
      <c r="CM54" s="67">
        <v>2950.3</v>
      </c>
      <c r="CN54" s="67">
        <v>2945.2</v>
      </c>
      <c r="CO54" s="287">
        <v>2936.1</v>
      </c>
      <c r="CP54" s="67">
        <v>2936.8</v>
      </c>
      <c r="CQ54" s="67">
        <v>2893.6</v>
      </c>
      <c r="CR54" s="67">
        <v>3015.2</v>
      </c>
      <c r="CS54" s="67">
        <v>3035.4</v>
      </c>
      <c r="CT54" s="67">
        <v>3137.4</v>
      </c>
      <c r="CU54" s="67">
        <v>3137.8</v>
      </c>
      <c r="CV54" s="67">
        <v>3041.4</v>
      </c>
      <c r="CW54" s="67">
        <v>2956</v>
      </c>
      <c r="CX54" s="67">
        <v>2910.6</v>
      </c>
    </row>
    <row r="55" spans="1:102" ht="15">
      <c r="A55" s="100" t="s">
        <v>22</v>
      </c>
      <c r="B55" s="147">
        <v>0</v>
      </c>
      <c r="C55" s="45">
        <v>0</v>
      </c>
      <c r="D55" s="49">
        <v>0</v>
      </c>
      <c r="E55" s="49">
        <v>0</v>
      </c>
      <c r="F55" s="49">
        <v>0</v>
      </c>
      <c r="G55" s="49">
        <v>0</v>
      </c>
      <c r="H55" s="49">
        <v>6.3</v>
      </c>
      <c r="I55" s="49">
        <v>34.2</v>
      </c>
      <c r="J55" s="49">
        <v>33</v>
      </c>
      <c r="K55" s="47">
        <v>19.2</v>
      </c>
      <c r="L55" s="50">
        <v>11.2</v>
      </c>
      <c r="M55" s="51">
        <v>10.87</v>
      </c>
      <c r="N55" s="51">
        <v>10.640661</v>
      </c>
      <c r="O55" s="50">
        <v>9.8510055</v>
      </c>
      <c r="P55" s="50">
        <v>8.4</v>
      </c>
      <c r="Q55" s="52">
        <v>8.76</v>
      </c>
      <c r="R55" s="53">
        <v>8.97</v>
      </c>
      <c r="S55" s="54">
        <v>8.36</v>
      </c>
      <c r="T55" s="50">
        <v>7.18</v>
      </c>
      <c r="U55" s="50">
        <v>8.5</v>
      </c>
      <c r="V55" s="52">
        <v>7.31</v>
      </c>
      <c r="W55" s="55">
        <v>7.757</v>
      </c>
      <c r="X55" s="51">
        <v>6.4</v>
      </c>
      <c r="Y55" s="272">
        <v>1.8</v>
      </c>
      <c r="Z55" s="55">
        <v>1.9</v>
      </c>
      <c r="AA55" s="50">
        <v>1.9</v>
      </c>
      <c r="AB55" s="50">
        <v>1.8</v>
      </c>
      <c r="AC55" s="50">
        <v>1.7000000000000002</v>
      </c>
      <c r="AD55" s="50">
        <v>1.8</v>
      </c>
      <c r="AE55" s="64">
        <v>0.6000000000000001</v>
      </c>
      <c r="AF55" s="50">
        <v>0.6000000000000001</v>
      </c>
      <c r="AG55" s="65">
        <v>0.5</v>
      </c>
      <c r="AH55" s="77">
        <v>0.5</v>
      </c>
      <c r="AI55" s="55">
        <v>0.43</v>
      </c>
      <c r="AJ55" s="66">
        <v>0.054</v>
      </c>
      <c r="AK55" s="51">
        <v>0.43</v>
      </c>
      <c r="AL55" s="51">
        <v>62.6</v>
      </c>
      <c r="AM55" s="51">
        <v>60.5</v>
      </c>
      <c r="AN55" s="51">
        <v>60.1</v>
      </c>
      <c r="AO55" s="67">
        <v>48.7</v>
      </c>
      <c r="AP55" s="67">
        <v>95.2</v>
      </c>
      <c r="AQ55" s="67">
        <v>46.1</v>
      </c>
      <c r="AR55" s="67">
        <v>46.8</v>
      </c>
      <c r="AS55" s="67">
        <v>47.6</v>
      </c>
      <c r="AT55" s="67">
        <v>46.3</v>
      </c>
      <c r="AU55" s="67">
        <v>45.6</v>
      </c>
      <c r="AV55" s="258">
        <v>47.7</v>
      </c>
      <c r="AW55" s="67">
        <v>50.8</v>
      </c>
      <c r="AX55" s="67">
        <v>51.1</v>
      </c>
      <c r="AY55" s="67">
        <v>48.7</v>
      </c>
      <c r="AZ55" s="67">
        <v>43.7</v>
      </c>
      <c r="BA55" s="68">
        <v>43.3</v>
      </c>
      <c r="BB55" s="68">
        <v>41.4</v>
      </c>
      <c r="BC55" s="68">
        <v>42.7</v>
      </c>
      <c r="BD55" s="68">
        <v>37.6</v>
      </c>
      <c r="BE55" s="68">
        <v>37.4</v>
      </c>
      <c r="BF55" s="68">
        <v>38.3</v>
      </c>
      <c r="BG55" s="68">
        <v>39.9</v>
      </c>
      <c r="BH55" s="258">
        <v>34.4</v>
      </c>
      <c r="BI55" s="67">
        <v>34.5</v>
      </c>
      <c r="BJ55" s="67">
        <v>32.5</v>
      </c>
      <c r="BK55" s="67">
        <v>28.3</v>
      </c>
      <c r="BL55" s="67">
        <v>28.2</v>
      </c>
      <c r="BM55" s="67">
        <v>26</v>
      </c>
      <c r="BN55" s="189">
        <v>26.1</v>
      </c>
      <c r="BO55" s="67">
        <v>25.8</v>
      </c>
      <c r="BP55" s="67">
        <v>25.6</v>
      </c>
      <c r="BQ55" s="67">
        <v>22.4</v>
      </c>
      <c r="BR55" s="67">
        <v>21.5</v>
      </c>
      <c r="BS55" s="67">
        <v>19.5</v>
      </c>
      <c r="BT55" s="242">
        <v>16.4</v>
      </c>
      <c r="BU55" s="67">
        <v>16</v>
      </c>
      <c r="BV55" s="67">
        <v>14.5</v>
      </c>
      <c r="BW55" s="67">
        <v>12.9</v>
      </c>
      <c r="BX55" s="67">
        <v>9.3</v>
      </c>
      <c r="BY55" s="67">
        <v>8.1</v>
      </c>
      <c r="BZ55" s="67">
        <v>8</v>
      </c>
      <c r="CA55" s="67">
        <v>8</v>
      </c>
      <c r="CB55" s="67">
        <v>5</v>
      </c>
      <c r="CC55" s="67">
        <v>3.6</v>
      </c>
      <c r="CD55" s="67">
        <v>3.2</v>
      </c>
      <c r="CE55" s="67">
        <v>3.2</v>
      </c>
      <c r="CF55" s="242">
        <v>3.2</v>
      </c>
      <c r="CG55" s="242">
        <v>3.1</v>
      </c>
      <c r="CH55" s="67">
        <v>3.1</v>
      </c>
      <c r="CI55" s="67">
        <v>3.1</v>
      </c>
      <c r="CJ55" s="67">
        <v>3</v>
      </c>
      <c r="CK55" s="67">
        <v>3.1</v>
      </c>
      <c r="CL55" s="67">
        <v>3.1</v>
      </c>
      <c r="CM55" s="67">
        <v>3</v>
      </c>
      <c r="CN55" s="67">
        <v>3</v>
      </c>
      <c r="CO55" s="287">
        <v>3.1</v>
      </c>
      <c r="CP55" s="67">
        <v>4</v>
      </c>
      <c r="CQ55" s="67">
        <v>3.9</v>
      </c>
      <c r="CR55" s="67">
        <v>3.8</v>
      </c>
      <c r="CS55" s="67">
        <v>3.8</v>
      </c>
      <c r="CT55" s="67">
        <v>3.9</v>
      </c>
      <c r="CU55" s="67">
        <v>3.8</v>
      </c>
      <c r="CV55" s="67">
        <v>3.8</v>
      </c>
      <c r="CW55" s="67">
        <v>3.6</v>
      </c>
      <c r="CX55" s="67">
        <v>3.4</v>
      </c>
    </row>
    <row r="56" spans="1:102" ht="15">
      <c r="A56" s="34" t="s">
        <v>48</v>
      </c>
      <c r="B56" s="146">
        <f aca="true" t="shared" si="83" ref="B56:X56">B57+B58</f>
        <v>3.3</v>
      </c>
      <c r="C56" s="70">
        <f t="shared" si="83"/>
        <v>41.4</v>
      </c>
      <c r="D56" s="70">
        <f t="shared" si="83"/>
        <v>73.6</v>
      </c>
      <c r="E56" s="70">
        <f t="shared" si="83"/>
        <v>226.6</v>
      </c>
      <c r="F56" s="70">
        <f t="shared" si="83"/>
        <v>672.4</v>
      </c>
      <c r="G56" s="70">
        <f t="shared" si="83"/>
        <v>2629.1</v>
      </c>
      <c r="H56" s="70">
        <f t="shared" si="83"/>
        <v>3472.3</v>
      </c>
      <c r="I56" s="70">
        <f t="shared" si="83"/>
        <v>6174.6</v>
      </c>
      <c r="J56" s="70">
        <f t="shared" si="83"/>
        <v>9238.6</v>
      </c>
      <c r="K56" s="74">
        <f t="shared" si="83"/>
        <v>10835.2</v>
      </c>
      <c r="L56" s="72">
        <f t="shared" si="83"/>
        <v>11948.925216</v>
      </c>
      <c r="M56" s="74">
        <f t="shared" si="83"/>
        <v>11658.64851</v>
      </c>
      <c r="N56" s="74">
        <f t="shared" si="83"/>
        <v>11612.776000000002</v>
      </c>
      <c r="O56" s="74">
        <f t="shared" si="83"/>
        <v>11504.005491</v>
      </c>
      <c r="P56" s="74">
        <f t="shared" si="83"/>
        <v>11466.9496</v>
      </c>
      <c r="Q56" s="74">
        <f t="shared" si="83"/>
        <v>11541.84824</v>
      </c>
      <c r="R56" s="74">
        <f t="shared" si="83"/>
        <v>11637.711319999999</v>
      </c>
      <c r="S56" s="74">
        <f t="shared" si="83"/>
        <v>11677.714100000001</v>
      </c>
      <c r="T56" s="74">
        <f t="shared" si="83"/>
        <v>11597.09276</v>
      </c>
      <c r="U56" s="74">
        <f t="shared" si="83"/>
        <v>11708.5</v>
      </c>
      <c r="V56" s="70">
        <f t="shared" si="83"/>
        <v>11922.022079999999</v>
      </c>
      <c r="W56" s="72">
        <f t="shared" si="83"/>
        <v>11923.50922</v>
      </c>
      <c r="X56" s="70">
        <f t="shared" si="83"/>
        <v>12879.349999999999</v>
      </c>
      <c r="Y56" s="273">
        <v>14000.7</v>
      </c>
      <c r="Z56" s="74">
        <f aca="true" t="shared" si="84" ref="Z56:BI56">Z57+Z58</f>
        <v>13816.300000000001</v>
      </c>
      <c r="AA56" s="72">
        <f t="shared" si="84"/>
        <v>13794.199999999999</v>
      </c>
      <c r="AB56" s="72">
        <f t="shared" si="84"/>
        <v>14185.9</v>
      </c>
      <c r="AC56" s="72">
        <f t="shared" si="84"/>
        <v>14201.800000000001</v>
      </c>
      <c r="AD56" s="72">
        <f t="shared" si="84"/>
        <v>14608.4</v>
      </c>
      <c r="AE56" s="73">
        <f t="shared" si="84"/>
        <v>14723.800000000001</v>
      </c>
      <c r="AF56" s="72">
        <f t="shared" si="84"/>
        <v>14762.1</v>
      </c>
      <c r="AG56" s="71">
        <f t="shared" si="84"/>
        <v>14750.400000000001</v>
      </c>
      <c r="AH56" s="71">
        <f t="shared" si="84"/>
        <v>14754.300000000001</v>
      </c>
      <c r="AI56" s="74">
        <f t="shared" si="84"/>
        <v>14791.099999999999</v>
      </c>
      <c r="AJ56" s="69">
        <f t="shared" si="84"/>
        <v>14971.1</v>
      </c>
      <c r="AK56" s="70">
        <f t="shared" si="84"/>
        <v>14832.900000000001</v>
      </c>
      <c r="AL56" s="70">
        <f t="shared" si="84"/>
        <v>14920.9</v>
      </c>
      <c r="AM56" s="70">
        <f t="shared" si="84"/>
        <v>14848.9</v>
      </c>
      <c r="AN56" s="70">
        <f t="shared" si="84"/>
        <v>14852</v>
      </c>
      <c r="AO56" s="75">
        <f t="shared" si="84"/>
        <v>14718.3</v>
      </c>
      <c r="AP56" s="75">
        <f t="shared" si="84"/>
        <v>14691.2</v>
      </c>
      <c r="AQ56" s="75">
        <f t="shared" si="84"/>
        <v>14691.8</v>
      </c>
      <c r="AR56" s="75">
        <f t="shared" si="84"/>
        <v>14693.9</v>
      </c>
      <c r="AS56" s="75">
        <f t="shared" si="84"/>
        <v>14709</v>
      </c>
      <c r="AT56" s="75">
        <f t="shared" si="84"/>
        <v>14655.2</v>
      </c>
      <c r="AU56" s="75">
        <f t="shared" si="84"/>
        <v>14644.400000000001</v>
      </c>
      <c r="AV56" s="259">
        <f t="shared" si="84"/>
        <v>14891.7</v>
      </c>
      <c r="AW56" s="75">
        <f t="shared" si="84"/>
        <v>14677.600000000002</v>
      </c>
      <c r="AX56" s="75">
        <f t="shared" si="84"/>
        <v>14865.400000000001</v>
      </c>
      <c r="AY56" s="75">
        <f t="shared" si="84"/>
        <v>14758.300000000001</v>
      </c>
      <c r="AZ56" s="75">
        <f t="shared" si="84"/>
        <v>14771.8</v>
      </c>
      <c r="BA56" s="76">
        <f t="shared" si="84"/>
        <v>16990.7</v>
      </c>
      <c r="BB56" s="76">
        <f t="shared" si="84"/>
        <v>14781.699999999999</v>
      </c>
      <c r="BC56" s="76">
        <f t="shared" si="84"/>
        <v>14722.5</v>
      </c>
      <c r="BD56" s="76">
        <f t="shared" si="84"/>
        <v>15195.9</v>
      </c>
      <c r="BE56" s="76">
        <f t="shared" si="84"/>
        <v>15205.6</v>
      </c>
      <c r="BF56" s="76">
        <f t="shared" si="84"/>
        <v>15290.199999999999</v>
      </c>
      <c r="BG56" s="76">
        <f t="shared" si="84"/>
        <v>15468.9</v>
      </c>
      <c r="BH56" s="259">
        <f t="shared" si="84"/>
        <v>16791.1</v>
      </c>
      <c r="BI56" s="75">
        <f t="shared" si="84"/>
        <v>16226.9</v>
      </c>
      <c r="BJ56" s="75">
        <f aca="true" t="shared" si="85" ref="BJ56:BO56">BJ57+BJ58</f>
        <v>16100.9</v>
      </c>
      <c r="BK56" s="75">
        <f t="shared" si="85"/>
        <v>15960.9</v>
      </c>
      <c r="BL56" s="75">
        <f t="shared" si="85"/>
        <v>16110.599999999999</v>
      </c>
      <c r="BM56" s="75">
        <f t="shared" si="85"/>
        <v>16082.7</v>
      </c>
      <c r="BN56" s="75">
        <f t="shared" si="85"/>
        <v>16050.7</v>
      </c>
      <c r="BO56" s="75">
        <f t="shared" si="85"/>
        <v>15973.6</v>
      </c>
      <c r="BP56" s="75">
        <f aca="true" t="shared" si="86" ref="BP56:BU56">BP57+BP58</f>
        <v>15901.300000000001</v>
      </c>
      <c r="BQ56" s="75">
        <f t="shared" si="86"/>
        <v>15856.1</v>
      </c>
      <c r="BR56" s="75">
        <f t="shared" si="86"/>
        <v>15901.3</v>
      </c>
      <c r="BS56" s="75">
        <f t="shared" si="86"/>
        <v>15944.4</v>
      </c>
      <c r="BT56" s="243">
        <f t="shared" si="86"/>
        <v>16040.9</v>
      </c>
      <c r="BU56" s="75">
        <f t="shared" si="86"/>
        <v>15548</v>
      </c>
      <c r="BV56" s="75">
        <f aca="true" t="shared" si="87" ref="BV56:CB56">BV57+BV58</f>
        <v>15558.8</v>
      </c>
      <c r="BW56" s="75">
        <f t="shared" si="87"/>
        <v>15790.3</v>
      </c>
      <c r="BX56" s="75">
        <f t="shared" si="87"/>
        <v>15648.9</v>
      </c>
      <c r="BY56" s="75">
        <f t="shared" si="87"/>
        <v>15462</v>
      </c>
      <c r="BZ56" s="75">
        <f t="shared" si="87"/>
        <v>15552.5</v>
      </c>
      <c r="CA56" s="75">
        <f t="shared" si="87"/>
        <v>15625.2</v>
      </c>
      <c r="CB56" s="75">
        <f t="shared" si="87"/>
        <v>15611.5</v>
      </c>
      <c r="CC56" s="75">
        <f aca="true" t="shared" si="88" ref="CC56:CH56">CC57+CC58</f>
        <v>15528.9</v>
      </c>
      <c r="CD56" s="75">
        <f t="shared" si="88"/>
        <v>15671.699999999999</v>
      </c>
      <c r="CE56" s="75">
        <f t="shared" si="88"/>
        <v>15671.699999999999</v>
      </c>
      <c r="CF56" s="243">
        <f t="shared" si="88"/>
        <v>15433</v>
      </c>
      <c r="CG56" s="243">
        <f t="shared" si="88"/>
        <v>15354.400000000001</v>
      </c>
      <c r="CH56" s="75">
        <f t="shared" si="88"/>
        <v>15252.4</v>
      </c>
      <c r="CI56" s="75">
        <f>CI57+CI58</f>
        <v>15160.599999999999</v>
      </c>
      <c r="CJ56" s="75">
        <f>CJ57+CJ58</f>
        <v>15756.5</v>
      </c>
      <c r="CK56" s="75">
        <f>CK57+CK58</f>
        <v>15110.1</v>
      </c>
      <c r="CL56" s="75">
        <f>CL57+CL58</f>
        <v>15431.400000000001</v>
      </c>
      <c r="CM56" s="75">
        <f>CM57+CM58</f>
        <v>14898.4</v>
      </c>
      <c r="CN56" s="75">
        <v>14256.1</v>
      </c>
      <c r="CO56" s="288">
        <f>CO57+CO58</f>
        <v>15369.1</v>
      </c>
      <c r="CP56" s="75">
        <f>CP57+CP58</f>
        <v>15294.3</v>
      </c>
      <c r="CQ56" s="75">
        <f>CQ57+CQ58</f>
        <v>15529.800000000001</v>
      </c>
      <c r="CR56" s="75">
        <v>15958</v>
      </c>
      <c r="CS56" s="75">
        <f>CS57+CS58</f>
        <v>15842</v>
      </c>
      <c r="CT56" s="75">
        <v>15963.6</v>
      </c>
      <c r="CU56" s="75">
        <f>CU57+CU58</f>
        <v>15873.4</v>
      </c>
      <c r="CV56" s="75">
        <f>CV57+CV58</f>
        <v>15746.5</v>
      </c>
      <c r="CW56" s="75">
        <f>CW57+CW58</f>
        <v>15637.599999999999</v>
      </c>
      <c r="CX56" s="75">
        <f>CX57+CX58</f>
        <v>15984.5</v>
      </c>
    </row>
    <row r="57" spans="1:102" ht="15">
      <c r="A57" s="100" t="s">
        <v>49</v>
      </c>
      <c r="B57" s="147">
        <v>3.3</v>
      </c>
      <c r="C57" s="45">
        <v>41.4</v>
      </c>
      <c r="D57" s="49">
        <v>63.5</v>
      </c>
      <c r="E57" s="49">
        <v>196.7</v>
      </c>
      <c r="F57" s="49">
        <f>341+267.6</f>
        <v>608.6</v>
      </c>
      <c r="G57" s="49">
        <v>665.8</v>
      </c>
      <c r="H57" s="49">
        <v>476.4</v>
      </c>
      <c r="I57" s="49">
        <v>1192.8</v>
      </c>
      <c r="J57" s="49">
        <v>1295.1</v>
      </c>
      <c r="K57" s="47">
        <v>3115.8</v>
      </c>
      <c r="L57" s="50">
        <v>2350.728</v>
      </c>
      <c r="M57" s="55">
        <v>7607.98371</v>
      </c>
      <c r="N57" s="55">
        <v>3270.9412</v>
      </c>
      <c r="O57" s="55">
        <v>3259.9031</v>
      </c>
      <c r="P57" s="55">
        <v>3250.628</v>
      </c>
      <c r="Q57" s="149">
        <v>3274.6865</v>
      </c>
      <c r="R57" s="53">
        <v>3283.3252</v>
      </c>
      <c r="S57" s="150">
        <v>3294.7245</v>
      </c>
      <c r="T57" s="55">
        <v>3294.9653</v>
      </c>
      <c r="U57" s="50">
        <v>3300.1</v>
      </c>
      <c r="V57" s="52">
        <v>3405.3635</v>
      </c>
      <c r="W57" s="55">
        <v>3405.08056</v>
      </c>
      <c r="X57" s="51">
        <v>550.05</v>
      </c>
      <c r="Y57" s="272">
        <v>566.1</v>
      </c>
      <c r="Z57" s="55">
        <v>584.2</v>
      </c>
      <c r="AA57" s="50">
        <v>584.3</v>
      </c>
      <c r="AB57" s="50">
        <v>607.8</v>
      </c>
      <c r="AC57" s="50">
        <v>614.7</v>
      </c>
      <c r="AD57" s="50">
        <v>635.6</v>
      </c>
      <c r="AE57" s="64">
        <v>634.6</v>
      </c>
      <c r="AF57" s="50">
        <v>634.7</v>
      </c>
      <c r="AG57" s="77">
        <v>633.2</v>
      </c>
      <c r="AH57" s="77">
        <v>633.2</v>
      </c>
      <c r="AI57" s="55">
        <v>634.8</v>
      </c>
      <c r="AJ57" s="66">
        <v>505.6</v>
      </c>
      <c r="AK57" s="51">
        <v>678.2</v>
      </c>
      <c r="AL57" s="51">
        <v>680.4</v>
      </c>
      <c r="AM57" s="51">
        <v>679.3</v>
      </c>
      <c r="AN57" s="51">
        <v>671.3</v>
      </c>
      <c r="AO57" s="67">
        <v>667.5</v>
      </c>
      <c r="AP57" s="67">
        <v>668.7</v>
      </c>
      <c r="AQ57" s="67">
        <v>667.3</v>
      </c>
      <c r="AR57" s="67">
        <v>668.1</v>
      </c>
      <c r="AS57" s="67">
        <v>670.4</v>
      </c>
      <c r="AT57" s="67">
        <v>661.5</v>
      </c>
      <c r="AU57" s="67">
        <v>661.2</v>
      </c>
      <c r="AV57" s="258">
        <v>747.2</v>
      </c>
      <c r="AW57" s="67">
        <f>AW47*0.05</f>
        <v>733.8800000000001</v>
      </c>
      <c r="AX57" s="67">
        <f>AX47*0.05</f>
        <v>743.27</v>
      </c>
      <c r="AY57" s="67">
        <v>711.2</v>
      </c>
      <c r="AZ57" s="68">
        <v>708.5</v>
      </c>
      <c r="BA57" s="68">
        <v>900.6</v>
      </c>
      <c r="BB57" s="68">
        <v>902.9</v>
      </c>
      <c r="BC57" s="68">
        <v>901</v>
      </c>
      <c r="BD57" s="68">
        <v>928.9</v>
      </c>
      <c r="BE57" s="68">
        <v>928.5</v>
      </c>
      <c r="BF57" s="68">
        <v>929.8</v>
      </c>
      <c r="BG57" s="68">
        <v>938.6</v>
      </c>
      <c r="BH57" s="258">
        <v>1123.5</v>
      </c>
      <c r="BI57" s="67">
        <v>992.8</v>
      </c>
      <c r="BJ57" s="67">
        <v>985.3</v>
      </c>
      <c r="BK57" s="67">
        <v>974.1</v>
      </c>
      <c r="BL57" s="67">
        <v>981.8</v>
      </c>
      <c r="BM57" s="67">
        <v>978.2</v>
      </c>
      <c r="BN57" s="189">
        <v>976</v>
      </c>
      <c r="BO57" s="67">
        <v>971.9</v>
      </c>
      <c r="BP57" s="67">
        <v>967.6</v>
      </c>
      <c r="BQ57" s="67">
        <v>966.2</v>
      </c>
      <c r="BR57" s="67">
        <v>973.5</v>
      </c>
      <c r="BS57" s="67">
        <v>977.4</v>
      </c>
      <c r="BT57" s="242">
        <v>978.4</v>
      </c>
      <c r="BU57" s="67">
        <v>959</v>
      </c>
      <c r="BV57" s="67">
        <v>959.5</v>
      </c>
      <c r="BW57" s="67">
        <v>977.4</v>
      </c>
      <c r="BX57" s="67">
        <v>963.3</v>
      </c>
      <c r="BY57" s="67">
        <v>952.5</v>
      </c>
      <c r="BZ57" s="67">
        <v>954.6</v>
      </c>
      <c r="CA57" s="67">
        <v>959.7</v>
      </c>
      <c r="CB57" s="67">
        <v>957.5</v>
      </c>
      <c r="CC57" s="67">
        <v>953.4</v>
      </c>
      <c r="CD57" s="67">
        <v>954.9</v>
      </c>
      <c r="CE57" s="67">
        <v>954.9</v>
      </c>
      <c r="CF57" s="242">
        <v>936.9</v>
      </c>
      <c r="CG57" s="242">
        <v>937.2</v>
      </c>
      <c r="CH57" s="67">
        <v>930.1</v>
      </c>
      <c r="CI57" s="67">
        <v>925.3</v>
      </c>
      <c r="CJ57" s="67">
        <v>964.6</v>
      </c>
      <c r="CK57" s="67">
        <v>919.1</v>
      </c>
      <c r="CL57" s="67">
        <v>916.2</v>
      </c>
      <c r="CM57" s="67">
        <v>905.3</v>
      </c>
      <c r="CN57" s="67">
        <v>855.6</v>
      </c>
      <c r="CO57" s="287">
        <v>939.5</v>
      </c>
      <c r="CP57" s="67">
        <v>933.5</v>
      </c>
      <c r="CQ57" s="67">
        <v>953.7</v>
      </c>
      <c r="CR57" s="67">
        <v>970.5</v>
      </c>
      <c r="CS57" s="67">
        <v>964.5</v>
      </c>
      <c r="CT57" s="67">
        <v>966.2</v>
      </c>
      <c r="CU57" s="67">
        <v>959.8</v>
      </c>
      <c r="CV57" s="67">
        <v>953.1</v>
      </c>
      <c r="CW57" s="67">
        <v>947.3</v>
      </c>
      <c r="CX57" s="67">
        <v>977</v>
      </c>
    </row>
    <row r="58" spans="1:102" ht="15.75" thickBot="1">
      <c r="A58" s="151" t="s">
        <v>50</v>
      </c>
      <c r="B58" s="152">
        <v>0</v>
      </c>
      <c r="C58" s="153">
        <v>0</v>
      </c>
      <c r="D58" s="154">
        <v>10.1</v>
      </c>
      <c r="E58" s="154">
        <v>29.9</v>
      </c>
      <c r="F58" s="154">
        <v>63.8</v>
      </c>
      <c r="G58" s="154">
        <v>1963.3</v>
      </c>
      <c r="H58" s="154">
        <v>2995.9</v>
      </c>
      <c r="I58" s="154">
        <v>4981.8</v>
      </c>
      <c r="J58" s="154">
        <v>7943.5</v>
      </c>
      <c r="K58" s="155">
        <v>7719.4</v>
      </c>
      <c r="L58" s="156">
        <v>9598.197216</v>
      </c>
      <c r="M58" s="157">
        <v>4050.6648</v>
      </c>
      <c r="N58" s="157">
        <v>8341.8348</v>
      </c>
      <c r="O58" s="157">
        <v>8244.102391</v>
      </c>
      <c r="P58" s="157">
        <v>8216.3216</v>
      </c>
      <c r="Q58" s="158">
        <v>8267.16174</v>
      </c>
      <c r="R58" s="159">
        <v>8354.38612</v>
      </c>
      <c r="S58" s="160">
        <v>8382.9896</v>
      </c>
      <c r="T58" s="157">
        <v>8302.12746</v>
      </c>
      <c r="U58" s="156">
        <v>8408.4</v>
      </c>
      <c r="V58" s="161">
        <v>8516.65858</v>
      </c>
      <c r="W58" s="157">
        <v>8518.42866</v>
      </c>
      <c r="X58" s="118">
        <v>12329.3</v>
      </c>
      <c r="Y58" s="278">
        <v>13434.6</v>
      </c>
      <c r="Z58" s="157">
        <v>13232.1</v>
      </c>
      <c r="AA58" s="156">
        <v>13209.9</v>
      </c>
      <c r="AB58" s="156">
        <v>13578.1</v>
      </c>
      <c r="AC58" s="156">
        <v>13587.1</v>
      </c>
      <c r="AD58" s="156">
        <v>13972.8</v>
      </c>
      <c r="AE58" s="116">
        <v>14089.2</v>
      </c>
      <c r="AF58" s="156">
        <v>14127.4</v>
      </c>
      <c r="AG58" s="117">
        <v>14117.2</v>
      </c>
      <c r="AH58" s="117">
        <v>14121.1</v>
      </c>
      <c r="AI58" s="157">
        <v>14156.3</v>
      </c>
      <c r="AJ58" s="162">
        <v>14465.5</v>
      </c>
      <c r="AK58" s="118">
        <v>14154.7</v>
      </c>
      <c r="AL58" s="118">
        <v>14240.5</v>
      </c>
      <c r="AM58" s="118">
        <v>14169.6</v>
      </c>
      <c r="AN58" s="118">
        <v>14180.7</v>
      </c>
      <c r="AO58" s="163">
        <v>14050.8</v>
      </c>
      <c r="AP58" s="163">
        <v>14022.5</v>
      </c>
      <c r="AQ58" s="163">
        <v>14024.5</v>
      </c>
      <c r="AR58" s="163">
        <v>14025.8</v>
      </c>
      <c r="AS58" s="163">
        <v>14038.6</v>
      </c>
      <c r="AT58" s="163">
        <v>13993.7</v>
      </c>
      <c r="AU58" s="163">
        <v>13983.2</v>
      </c>
      <c r="AV58" s="264">
        <v>14144.5</v>
      </c>
      <c r="AW58" s="163">
        <f>AW47*0.95</f>
        <v>13943.720000000001</v>
      </c>
      <c r="AX58" s="163">
        <f>AX47*0.95</f>
        <v>14122.130000000001</v>
      </c>
      <c r="AY58" s="163">
        <v>14047.1</v>
      </c>
      <c r="AZ58" s="164">
        <v>14063.3</v>
      </c>
      <c r="BA58" s="164">
        <v>16090.1</v>
      </c>
      <c r="BB58" s="164">
        <v>13878.8</v>
      </c>
      <c r="BC58" s="164">
        <v>13821.5</v>
      </c>
      <c r="BD58" s="164">
        <v>14267</v>
      </c>
      <c r="BE58" s="164">
        <v>14277.1</v>
      </c>
      <c r="BF58" s="164">
        <v>14360.4</v>
      </c>
      <c r="BG58" s="164">
        <v>14530.3</v>
      </c>
      <c r="BH58" s="264">
        <v>15667.6</v>
      </c>
      <c r="BI58" s="163">
        <v>15234.1</v>
      </c>
      <c r="BJ58" s="163">
        <v>15115.6</v>
      </c>
      <c r="BK58" s="163">
        <v>14986.8</v>
      </c>
      <c r="BL58" s="163">
        <v>15128.8</v>
      </c>
      <c r="BM58" s="163">
        <v>15104.5</v>
      </c>
      <c r="BN58" s="189">
        <v>15074.7</v>
      </c>
      <c r="BO58" s="163">
        <v>15001.7</v>
      </c>
      <c r="BP58" s="163">
        <v>14933.7</v>
      </c>
      <c r="BQ58" s="163">
        <v>14889.9</v>
      </c>
      <c r="BR58" s="163">
        <v>14927.8</v>
      </c>
      <c r="BS58" s="163">
        <v>14967</v>
      </c>
      <c r="BT58" s="249">
        <v>15062.5</v>
      </c>
      <c r="BU58" s="163">
        <v>14589</v>
      </c>
      <c r="BV58" s="163">
        <v>14599.3</v>
      </c>
      <c r="BW58" s="163">
        <v>14812.9</v>
      </c>
      <c r="BX58" s="163">
        <v>14685.6</v>
      </c>
      <c r="BY58" s="163">
        <v>14509.5</v>
      </c>
      <c r="BZ58" s="163">
        <v>14597.9</v>
      </c>
      <c r="CA58" s="163">
        <v>14665.5</v>
      </c>
      <c r="CB58" s="163">
        <v>14654</v>
      </c>
      <c r="CC58" s="163">
        <v>14575.5</v>
      </c>
      <c r="CD58" s="163">
        <v>14716.8</v>
      </c>
      <c r="CE58" s="163">
        <v>14716.8</v>
      </c>
      <c r="CF58" s="249">
        <v>14496.1</v>
      </c>
      <c r="CG58" s="249">
        <v>14417.2</v>
      </c>
      <c r="CH58" s="163">
        <v>14322.3</v>
      </c>
      <c r="CI58" s="163">
        <v>14235.3</v>
      </c>
      <c r="CJ58" s="163">
        <v>14791.9</v>
      </c>
      <c r="CK58" s="163">
        <v>14191</v>
      </c>
      <c r="CL58" s="163">
        <v>14515.2</v>
      </c>
      <c r="CM58" s="163">
        <v>13993.1</v>
      </c>
      <c r="CN58" s="163">
        <v>13400.5</v>
      </c>
      <c r="CO58" s="293">
        <v>14429.6</v>
      </c>
      <c r="CP58" s="163">
        <v>14360.8</v>
      </c>
      <c r="CQ58" s="163">
        <v>14576.1</v>
      </c>
      <c r="CR58" s="163">
        <v>14987.5</v>
      </c>
      <c r="CS58" s="163">
        <v>14877.5</v>
      </c>
      <c r="CT58" s="163">
        <v>14997.4</v>
      </c>
      <c r="CU58" s="163">
        <v>14913.6</v>
      </c>
      <c r="CV58" s="163">
        <v>14793.4</v>
      </c>
      <c r="CW58" s="163">
        <v>14690.3</v>
      </c>
      <c r="CX58" s="163">
        <v>15007.5</v>
      </c>
    </row>
    <row r="59" spans="1:102" ht="24" customHeight="1">
      <c r="A59" s="165" t="s">
        <v>51</v>
      </c>
      <c r="B59" s="166">
        <v>2.4118</v>
      </c>
      <c r="C59" s="166">
        <v>2.7881</v>
      </c>
      <c r="D59" s="166">
        <v>3.4919000000000002</v>
      </c>
      <c r="E59" s="166">
        <v>4.1117</v>
      </c>
      <c r="F59" s="166">
        <v>3.9663</v>
      </c>
      <c r="G59" s="166">
        <v>3.6771000000000003</v>
      </c>
      <c r="H59" s="167">
        <v>3.3817</v>
      </c>
      <c r="I59" s="168">
        <v>3.6102</v>
      </c>
      <c r="J59" s="168">
        <v>3.9859999999999998</v>
      </c>
      <c r="K59" s="168">
        <v>4.2296</v>
      </c>
      <c r="L59" s="169">
        <v>4.2848</v>
      </c>
      <c r="M59" s="169">
        <v>4.2549</v>
      </c>
      <c r="N59" s="169">
        <v>4.215</v>
      </c>
      <c r="O59" s="169">
        <v>4.1141</v>
      </c>
      <c r="P59" s="169">
        <v>4.0744</v>
      </c>
      <c r="Q59" s="169">
        <v>4.1208</v>
      </c>
      <c r="R59" s="169">
        <v>4.2341</v>
      </c>
      <c r="S59" s="169">
        <v>4.2403</v>
      </c>
      <c r="T59" s="169">
        <v>4.2228</v>
      </c>
      <c r="U59" s="169">
        <v>4.3533</v>
      </c>
      <c r="V59" s="169">
        <v>4.3243</v>
      </c>
      <c r="W59" s="169">
        <v>4.3539</v>
      </c>
      <c r="X59" s="169">
        <v>4.3197</v>
      </c>
      <c r="Y59" s="169">
        <v>4.4287</v>
      </c>
      <c r="Z59" s="169">
        <v>4.3828</v>
      </c>
      <c r="AA59" s="169">
        <v>4.3698</v>
      </c>
      <c r="AB59" s="169">
        <v>4.4154</v>
      </c>
      <c r="AC59" s="169">
        <v>4.3237</v>
      </c>
      <c r="AD59" s="169">
        <v>4.4588</v>
      </c>
      <c r="AE59" s="169">
        <v>4.4048</v>
      </c>
      <c r="AF59" s="169">
        <v>4.4367</v>
      </c>
      <c r="AG59" s="169">
        <v>4.4604</v>
      </c>
      <c r="AH59" s="169">
        <v>4.4306</v>
      </c>
      <c r="AI59" s="169">
        <v>4.4412</v>
      </c>
      <c r="AJ59" s="169">
        <v>4.4847</v>
      </c>
      <c r="AK59" s="169">
        <v>4.4978</v>
      </c>
      <c r="AL59" s="169">
        <v>4.4995</v>
      </c>
      <c r="AM59" s="169">
        <v>4.4553</v>
      </c>
      <c r="AN59" s="169">
        <v>4.4503</v>
      </c>
      <c r="AO59" s="169">
        <v>4.3986</v>
      </c>
      <c r="AP59" s="169">
        <v>4.3870000000000005</v>
      </c>
      <c r="AQ59" s="169">
        <v>4.4188</v>
      </c>
      <c r="AR59" s="169">
        <v>4.4126</v>
      </c>
      <c r="AS59" s="169">
        <v>4.4114</v>
      </c>
      <c r="AT59" s="169">
        <v>4.4139</v>
      </c>
      <c r="AU59" s="169">
        <v>4.4247</v>
      </c>
      <c r="AV59" s="170">
        <v>4.4821</v>
      </c>
      <c r="AW59" s="169">
        <v>4.4424</v>
      </c>
      <c r="AX59" s="169">
        <v>4.4381</v>
      </c>
      <c r="AY59" s="169">
        <v>4.4098</v>
      </c>
      <c r="AZ59" s="169">
        <v>4.4198</v>
      </c>
      <c r="BA59" s="170">
        <v>4.4395</v>
      </c>
      <c r="BB59" s="170">
        <v>4.4735</v>
      </c>
      <c r="BC59" s="170">
        <v>4.407</v>
      </c>
      <c r="BD59" s="170">
        <v>4.4321</v>
      </c>
      <c r="BE59" s="170">
        <v>4.4167</v>
      </c>
      <c r="BF59" s="170">
        <v>4.4322</v>
      </c>
      <c r="BG59" s="170">
        <v>4.446</v>
      </c>
      <c r="BH59" s="170">
        <v>4.5245</v>
      </c>
      <c r="BI59" s="169">
        <v>4.5337</v>
      </c>
      <c r="BJ59" s="169">
        <v>4.4692</v>
      </c>
      <c r="BK59" s="169">
        <v>4.4738</v>
      </c>
      <c r="BL59" s="169">
        <v>4.4774</v>
      </c>
      <c r="BM59" s="169">
        <v>4.5115</v>
      </c>
      <c r="BN59" s="169">
        <v>4.521</v>
      </c>
      <c r="BO59" s="169">
        <v>4.4654</v>
      </c>
      <c r="BP59" s="169">
        <v>4.4654</v>
      </c>
      <c r="BQ59" s="169">
        <v>4.4523</v>
      </c>
      <c r="BR59" s="169">
        <v>4.5057</v>
      </c>
      <c r="BS59" s="169">
        <v>4.5057</v>
      </c>
      <c r="BT59" s="169">
        <v>4.5411</v>
      </c>
      <c r="BU59" s="169">
        <v>4.5038</v>
      </c>
      <c r="BV59" s="169">
        <v>4.516</v>
      </c>
      <c r="BW59" s="169">
        <v>4.5511</v>
      </c>
      <c r="BX59" s="169">
        <v>4.5333</v>
      </c>
      <c r="BY59" s="169">
        <v>4.5702</v>
      </c>
      <c r="BZ59" s="169">
        <v>4.5539</v>
      </c>
      <c r="CA59" s="169">
        <v>4.5598</v>
      </c>
      <c r="CB59" s="169">
        <v>4.5906</v>
      </c>
      <c r="CC59" s="169">
        <v>4.5991</v>
      </c>
      <c r="CD59" s="169">
        <v>4.5985</v>
      </c>
      <c r="CE59" s="169">
        <v>4.6422</v>
      </c>
      <c r="CF59" s="169">
        <v>4.6597</v>
      </c>
      <c r="CG59" s="169">
        <v>4.6582</v>
      </c>
      <c r="CH59" s="169">
        <v>4.6625</v>
      </c>
      <c r="CI59" s="169">
        <v>4.6576</v>
      </c>
      <c r="CJ59" s="169">
        <v>4.6589</v>
      </c>
      <c r="CK59" s="169">
        <v>4.6485</v>
      </c>
      <c r="CL59" s="169">
        <v>4.6611</v>
      </c>
      <c r="CM59" s="169">
        <v>4.6283</v>
      </c>
      <c r="CN59" s="169">
        <v>4.644</v>
      </c>
      <c r="CO59" s="294">
        <v>4.6637</v>
      </c>
      <c r="CP59" s="169">
        <v>4.6668</v>
      </c>
      <c r="CQ59" s="169">
        <v>4.656</v>
      </c>
      <c r="CR59" s="169">
        <v>4.6639</v>
      </c>
      <c r="CS59" s="169">
        <v>4.7348</v>
      </c>
      <c r="CT59" s="169">
        <v>4.7416</v>
      </c>
      <c r="CU59" s="169">
        <v>4.7628</v>
      </c>
      <c r="CV59" s="169">
        <v>4.7582</v>
      </c>
      <c r="CW59" s="169">
        <v>4.7582</v>
      </c>
      <c r="CX59" s="169">
        <v>4.7351</v>
      </c>
    </row>
    <row r="60" spans="1:102" ht="20.25" customHeight="1">
      <c r="A60" s="165" t="s">
        <v>52</v>
      </c>
      <c r="B60" s="171">
        <v>81275</v>
      </c>
      <c r="C60" s="171">
        <v>118327</v>
      </c>
      <c r="D60" s="171">
        <v>152630</v>
      </c>
      <c r="E60" s="171">
        <v>198761</v>
      </c>
      <c r="F60" s="171">
        <v>248748</v>
      </c>
      <c r="G60" s="171">
        <v>290489</v>
      </c>
      <c r="H60" s="172">
        <v>347004</v>
      </c>
      <c r="I60" s="172">
        <v>428979</v>
      </c>
      <c r="J60" s="172">
        <v>538050</v>
      </c>
      <c r="K60" s="172">
        <v>526345</v>
      </c>
      <c r="L60" s="173">
        <v>529624</v>
      </c>
      <c r="M60" s="174">
        <v>563100</v>
      </c>
      <c r="N60" s="174">
        <v>563100</v>
      </c>
      <c r="O60" s="174">
        <v>563100</v>
      </c>
      <c r="P60" s="174">
        <v>563100</v>
      </c>
      <c r="Q60" s="174">
        <v>563100</v>
      </c>
      <c r="R60" s="174">
        <v>563100</v>
      </c>
      <c r="S60" s="174">
        <v>563100</v>
      </c>
      <c r="T60" s="174">
        <v>563100</v>
      </c>
      <c r="U60" s="174">
        <v>563100</v>
      </c>
      <c r="V60" s="174">
        <v>563100</v>
      </c>
      <c r="W60" s="174">
        <v>563100</v>
      </c>
      <c r="X60" s="174">
        <v>562062</v>
      </c>
      <c r="Y60" s="174">
        <v>595367</v>
      </c>
      <c r="Z60" s="174">
        <v>623300</v>
      </c>
      <c r="AA60" s="174">
        <v>623300</v>
      </c>
      <c r="AB60" s="174">
        <v>623300</v>
      </c>
      <c r="AC60" s="174">
        <v>623300</v>
      </c>
      <c r="AD60" s="174">
        <v>626200</v>
      </c>
      <c r="AE60" s="174">
        <v>626200</v>
      </c>
      <c r="AF60" s="174">
        <v>626200</v>
      </c>
      <c r="AG60" s="174">
        <v>625600</v>
      </c>
      <c r="AH60" s="174">
        <v>625600</v>
      </c>
      <c r="AI60" s="174">
        <v>625600</v>
      </c>
      <c r="AJ60" s="174">
        <v>637456</v>
      </c>
      <c r="AK60" s="174">
        <v>669509.2</v>
      </c>
      <c r="AL60" s="174">
        <v>669509.2</v>
      </c>
      <c r="AM60" s="174">
        <v>669509.2</v>
      </c>
      <c r="AN60" s="174">
        <v>669509.2</v>
      </c>
      <c r="AO60" s="174">
        <v>669509.2</v>
      </c>
      <c r="AP60" s="174">
        <v>669509.2</v>
      </c>
      <c r="AQ60" s="174">
        <v>669509.2</v>
      </c>
      <c r="AR60" s="174">
        <v>669509.2</v>
      </c>
      <c r="AS60" s="174">
        <v>669509.2</v>
      </c>
      <c r="AT60" s="174">
        <v>669509.2</v>
      </c>
      <c r="AU60" s="174">
        <v>669509.2</v>
      </c>
      <c r="AV60" s="175">
        <v>668590</v>
      </c>
      <c r="AW60" s="175">
        <v>710266.6</v>
      </c>
      <c r="AX60" s="175">
        <v>710266.6</v>
      </c>
      <c r="AY60" s="175">
        <v>710266.6</v>
      </c>
      <c r="AZ60" s="175">
        <v>710266.6</v>
      </c>
      <c r="BA60" s="175">
        <v>710266.6</v>
      </c>
      <c r="BB60" s="175">
        <v>710266.6</v>
      </c>
      <c r="BC60" s="175">
        <v>710266.6</v>
      </c>
      <c r="BD60" s="175">
        <v>710266.6</v>
      </c>
      <c r="BE60" s="175">
        <v>710266.6</v>
      </c>
      <c r="BF60" s="175">
        <v>710266.6</v>
      </c>
      <c r="BG60" s="175">
        <v>710266.6</v>
      </c>
      <c r="BH60" s="175">
        <v>712588</v>
      </c>
      <c r="BI60" s="174">
        <v>759227.8</v>
      </c>
      <c r="BJ60" s="174">
        <v>759227.8</v>
      </c>
      <c r="BK60" s="174">
        <v>759227.8</v>
      </c>
      <c r="BL60" s="174">
        <v>759227.8</v>
      </c>
      <c r="BM60" s="174">
        <v>759227.8</v>
      </c>
      <c r="BN60" s="174">
        <v>759227.8</v>
      </c>
      <c r="BO60" s="174">
        <v>759227.8</v>
      </c>
      <c r="BP60" s="174">
        <v>759227.8</v>
      </c>
      <c r="BQ60" s="174">
        <v>759227.8</v>
      </c>
      <c r="BR60" s="174">
        <v>759227.8</v>
      </c>
      <c r="BS60" s="174">
        <v>759227.8</v>
      </c>
      <c r="BT60" s="174">
        <v>765135</v>
      </c>
      <c r="BU60" s="174">
        <v>856351.8</v>
      </c>
      <c r="BV60" s="174">
        <v>856351.8</v>
      </c>
      <c r="BW60" s="174">
        <v>856351.8</v>
      </c>
      <c r="BX60" s="174">
        <v>856351.8</v>
      </c>
      <c r="BY60" s="174">
        <v>856351.8</v>
      </c>
      <c r="BZ60" s="174">
        <v>856351.8</v>
      </c>
      <c r="CA60" s="174">
        <v>856351.8</v>
      </c>
      <c r="CB60" s="174">
        <v>856351.8</v>
      </c>
      <c r="CC60" s="174">
        <v>856351.8</v>
      </c>
      <c r="CD60" s="174">
        <v>856351.8</v>
      </c>
      <c r="CE60" s="174">
        <v>856351.8</v>
      </c>
      <c r="CF60" s="174">
        <v>856700</v>
      </c>
      <c r="CG60" s="174">
        <v>949600</v>
      </c>
      <c r="CH60" s="174">
        <v>949600</v>
      </c>
      <c r="CI60" s="174">
        <v>949600</v>
      </c>
      <c r="CJ60" s="174">
        <v>949600</v>
      </c>
      <c r="CK60" s="174">
        <v>949600</v>
      </c>
      <c r="CL60" s="174">
        <v>949600</v>
      </c>
      <c r="CM60" s="174">
        <v>949600</v>
      </c>
      <c r="CN60" s="174">
        <v>949600</v>
      </c>
      <c r="CO60" s="174">
        <v>949600</v>
      </c>
      <c r="CP60" s="174">
        <v>949600</v>
      </c>
      <c r="CQ60" s="174">
        <v>949600</v>
      </c>
      <c r="CR60" s="174">
        <v>944220.2</v>
      </c>
      <c r="CS60" s="174">
        <v>1031000</v>
      </c>
      <c r="CT60" s="174">
        <v>1031000</v>
      </c>
      <c r="CU60" s="174">
        <v>1031000</v>
      </c>
      <c r="CV60" s="174">
        <v>1031000</v>
      </c>
      <c r="CW60" s="174">
        <v>1031000</v>
      </c>
      <c r="CX60" s="174">
        <v>1031000</v>
      </c>
    </row>
    <row r="61" spans="1:95" ht="15">
      <c r="A61" s="295" t="s">
        <v>53</v>
      </c>
      <c r="B61" s="295"/>
      <c r="C61" s="295"/>
      <c r="D61" s="295"/>
      <c r="E61" s="295"/>
      <c r="F61" s="207"/>
      <c r="G61" s="8"/>
      <c r="H61" s="8"/>
      <c r="I61" s="8"/>
      <c r="J61" s="8"/>
      <c r="K61" s="8"/>
      <c r="X61" s="176"/>
      <c r="Y61" s="176"/>
      <c r="Z61" s="177"/>
      <c r="AA61" s="177"/>
      <c r="AB61" s="177"/>
      <c r="AC61" s="178"/>
      <c r="AD61" s="178"/>
      <c r="AE61" s="179"/>
      <c r="AF61" s="179"/>
      <c r="AG61" s="179"/>
      <c r="AH61" s="179"/>
      <c r="BV61" s="186"/>
      <c r="CQ61" s="1"/>
    </row>
    <row r="62" spans="1:74" ht="15">
      <c r="A62" s="296" t="s">
        <v>58</v>
      </c>
      <c r="B62" s="297"/>
      <c r="C62" s="297"/>
      <c r="D62" s="297"/>
      <c r="E62" s="297"/>
      <c r="F62" s="297"/>
      <c r="G62" s="297"/>
      <c r="Y62" s="180"/>
      <c r="AC62" s="13"/>
      <c r="AD62" s="13"/>
      <c r="AE62" s="180"/>
      <c r="AF62" s="180"/>
      <c r="AG62" s="180"/>
      <c r="AH62" s="180"/>
      <c r="AS62" s="181"/>
      <c r="AT62" s="181"/>
      <c r="AU62" s="181"/>
      <c r="AV62" s="182"/>
      <c r="AW62" s="181"/>
      <c r="AX62" s="181"/>
      <c r="AY62" s="181"/>
      <c r="AZ62" s="181"/>
      <c r="BA62" s="183"/>
      <c r="BB62" s="183"/>
      <c r="BC62" s="183"/>
      <c r="BD62" s="183"/>
      <c r="BE62" s="184"/>
      <c r="BF62" s="184"/>
      <c r="BG62" s="185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205"/>
    </row>
    <row r="63" spans="1:74" ht="15">
      <c r="A63" s="208" t="s">
        <v>56</v>
      </c>
      <c r="BV63" s="186"/>
    </row>
  </sheetData>
  <sheetProtection selectLockedCells="1" selectUnlockedCells="1"/>
  <mergeCells count="2">
    <mergeCell ref="A61:E61"/>
    <mergeCell ref="A62:G62"/>
  </mergeCells>
  <printOptions/>
  <pageMargins left="0.31496062992125984" right="0.03937007874015748" top="0.4724409448818898" bottom="0.2362204724409449" header="0.2362204724409449" footer="0.5118110236220472"/>
  <pageSetup horizontalDpi="600" verticalDpi="600" orientation="landscape" paperSize="8" scale="48" r:id="rId3"/>
  <headerFooter alignWithMargins="0">
    <oddHeader>&amp;CPublic debt*)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2019-08-08T09:36:46Z</cp:lastPrinted>
  <dcterms:modified xsi:type="dcterms:W3CDTF">2019-08-08T09:36:57Z</dcterms:modified>
  <cp:category/>
  <cp:version/>
  <cp:contentType/>
  <cp:contentStatus/>
</cp:coreProperties>
</file>